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tratación 2025" sheetId="1" r:id="rId4"/>
    <sheet state="visible" name="CONTRATACION ACTUALIZADA" sheetId="2" r:id="rId5"/>
    <sheet state="visible" name="CONTRATACION " sheetId="3" r:id="rId6"/>
    <sheet state="visible" name="PAGOS 1" sheetId="4" r:id="rId7"/>
    <sheet state="visible" name="PAGOS 2" sheetId="5" r:id="rId8"/>
    <sheet state="visible" name="PAGOS 3" sheetId="6" r:id="rId9"/>
    <sheet state="visible" name="PAGOS 4" sheetId="7" r:id="rId10"/>
    <sheet state="visible" name="PAGOS 5" sheetId="8" r:id="rId11"/>
    <sheet state="visible" name="CONSOLIDADA PAGOS" sheetId="9" r:id="rId12"/>
    <sheet state="visible" name="Lista" sheetId="10" r:id="rId13"/>
  </sheets>
  <definedNames>
    <definedName name="PAGOSTOTALES">'CONSOLIDADA PAGOS'!$I$2:$Z$412</definedName>
    <definedName name="CLASE">Lista!$C$2:$C$17</definedName>
    <definedName name="RANGOFECHAFINAL">'CONTRATACION ACTUALIZADA'!$B$3:$Z$279</definedName>
    <definedName name="PRIMERPAGO">'PAGOS 1'!$A$2:$M$126</definedName>
    <definedName name="PAGO3">'PAGOS 3'!$G$2:$K$254</definedName>
    <definedName name="RANGOCTOS">#REF!</definedName>
    <definedName name="VALOR1">'Contratación 2025'!$L$2:$L$105</definedName>
    <definedName name="RANGOPAGOS5">'PAGOS 4'!$H$2:$N$271</definedName>
    <definedName name="PAGO2">'PAGOS 2'!$G$2:$K$242</definedName>
    <definedName name="RANGOPRORROGAS">'CONTRATACION ACTUALIZADA'!$B$3:$Y$279</definedName>
    <definedName name="RANGOPAGOS6">'PAGOS 5'!$G$2:$M$260</definedName>
    <definedName name="RANGOPERACIONES">'CONTRATACION ACTUALIZADA'!$B$3:$R$279</definedName>
    <definedName name="RANGOCTOS2">'CONTRATACION '!$B$4:$BI$338</definedName>
    <definedName name="PAGO1">'PAGOS 1'!$G$2:$M$126</definedName>
    <definedName hidden="1" localSheetId="0" name="_xlnm._FilterDatabase">'Contratación 2025'!$E$3:$E$303</definedName>
  </definedNames>
  <calcPr/>
  <extLst>
    <ext uri="GoogleSheetsCustomDataVersion2">
      <go:sheetsCustomData xmlns:go="http://customooxmlschemas.google.com/" r:id="rId14" roundtripDataChecksum="hOK4OUHvIPXKD6HyLHtOmOBnyu/3gmwhE8wIpcLGOrk="/>
    </ext>
  </extLst>
</workbook>
</file>

<file path=xl/sharedStrings.xml><?xml version="1.0" encoding="utf-8"?>
<sst xmlns="http://schemas.openxmlformats.org/spreadsheetml/2006/main" count="30899" uniqueCount="6190">
  <si>
    <t>CONTRATACIÓN PRESTACION DE SERVICIOS 2025
CORTE 22 DE JULIO DE 2025</t>
  </si>
  <si>
    <t>No.</t>
  </si>
  <si>
    <t>TIPO</t>
  </si>
  <si>
    <t>EXPEDIENTE ARGO</t>
  </si>
  <si>
    <t>MODALIDAD</t>
  </si>
  <si>
    <t>CLASE DE ORDEN  CONTRATO Y/O CONVENIO</t>
  </si>
  <si>
    <t>No.DECONTRATOIDSECOPII/ORDENDECOMRA</t>
  </si>
  <si>
    <t>OBJETO</t>
  </si>
  <si>
    <t>NOMBRE</t>
  </si>
  <si>
    <t>IDENTIFICACIÓN
NIT /CEDULA DE
CIUDADANIA/OTRO</t>
  </si>
  <si>
    <t>VALOR INICIAL</t>
  </si>
  <si>
    <t>VALOR ADICIÓNES/REDUCCIONES</t>
  </si>
  <si>
    <t>VALOR TOTAL</t>
  </si>
  <si>
    <t>% PORCENTAJE EJECUCIÓN EN PRESUPUESTO</t>
  </si>
  <si>
    <t>$ 
PAGOS REALIZADOS</t>
  </si>
  <si>
    <t>$
RESTANTE POR PAGAR</t>
  </si>
  <si>
    <t>RUBRO</t>
  </si>
  <si>
    <t>CDP</t>
  </si>
  <si>
    <t>CRP</t>
  </si>
  <si>
    <t>FECHA FIRMA</t>
  </si>
  <si>
    <t>FECHA APROBACIÓN POLIZA</t>
  </si>
  <si>
    <t>FECHA DE INICIO</t>
  </si>
  <si>
    <t>PRORROGA</t>
  </si>
  <si>
    <t>DURACION EN DIAS INICIAL</t>
  </si>
  <si>
    <t>DURACION FINAL EN DIAS</t>
  </si>
  <si>
    <t>% DE EJECUCION EN TIEMPO</t>
  </si>
  <si>
    <t>FECHA DE FINALIZACION FINAL</t>
  </si>
  <si>
    <t>SUPERVISOR</t>
  </si>
  <si>
    <t>AREA</t>
  </si>
  <si>
    <t>ESTADO</t>
  </si>
  <si>
    <t>Contrato</t>
  </si>
  <si>
    <t>2025114140100013E</t>
  </si>
  <si>
    <t>DIRECTA</t>
  </si>
  <si>
    <t>PRESTACION DE SERVICIOS PROFESIONALES</t>
  </si>
  <si>
    <t>CO1.PCCNTR.7196914</t>
  </si>
  <si>
    <t>Prestar los servicios profesionales para el acompañamiento y seguimiento jurídico a las etapas pre contractual, contractual y pos contractual, así como, reporte de información en las diferentes plataformas y aplicaciones asociadas al proceso contractual, y la generación de informes de temas relacionados con Gestión Contractual en especial, lo relacionado con la Subdirección de Demanda</t>
  </si>
  <si>
    <t>ANDREA PEDROZA MOLINA cedido a EDWIN ANDRES GARCIA AMAYA</t>
  </si>
  <si>
    <t>52369571
1075248422</t>
  </si>
  <si>
    <t>A-05-01-02-008-002</t>
  </si>
  <si>
    <t>-</t>
  </si>
  <si>
    <t>EDITH CAROLINA CHAVEZ BRICEÑO</t>
  </si>
  <si>
    <t>SECRETARIA GENERAL</t>
  </si>
  <si>
    <t>EN EJECUCION</t>
  </si>
  <si>
    <t>2025114140000014E</t>
  </si>
  <si>
    <t>CO1.PCCNTR.7203693</t>
  </si>
  <si>
    <t>Prestar los servicios profesionales para el desarrollo de las actividades de apoyo jurídico de la Secretaría General</t>
  </si>
  <si>
    <t>LAURA PATRICIA HINCAPIE VILLAMIZAR</t>
  </si>
  <si>
    <t>C-2199-1900-4-53105B-2199057-02</t>
  </si>
  <si>
    <t>DIANA APONTE MARTIN</t>
  </si>
  <si>
    <t>2025114140000006E</t>
  </si>
  <si>
    <t>CO1.PCCNTR.7205218</t>
  </si>
  <si>
    <t>Prestar los servicios profesionales para el acompañamiento en los trámites relacionados con los procesos precontractuales y contractuales de la entidad, en especial lo que se derive en relación con la Subdirección de Energía Eléctrica.</t>
  </si>
  <si>
    <t>LAURA VALENTINA SANIN MORALES</t>
  </si>
  <si>
    <t>C-2102-1900-6-40301C-2102009-02</t>
  </si>
  <si>
    <t>2025114140100021E</t>
  </si>
  <si>
    <t>CO1.PCCNTR.7204712</t>
  </si>
  <si>
    <t>Prestar servicios profesionales en las actividades relacionadas con el proceso de gestión contractual de la entidad, en especial, las derivadas del proyecto de inversión "Fortalecimiento de la percepción de la ciudadanía frente a los productos y servicios prestados por la UPME Nacional", y que, con ello, permita el cumplimiento de los objetivos y productos del mismo.</t>
  </si>
  <si>
    <t>MILENA HERRERA DE LA HOZ</t>
  </si>
  <si>
    <t>2025114140100025E</t>
  </si>
  <si>
    <t>CO1.PCCNTR.7207531</t>
  </si>
  <si>
    <t>Prestar los servicios profesionales de acompañamiento jurídico en los asuntos de gestión precontractual, contractual y poscontractual de la Entidad en especial lo relacionado con la Oficina de Tecnologías de la Información.</t>
  </si>
  <si>
    <t>KARINA ANDREA GÓMEZ CELY</t>
  </si>
  <si>
    <t>C-2199-1900-5-53105B-2199066-02</t>
  </si>
  <si>
    <t>2025114140000012E</t>
  </si>
  <si>
    <t>CO1.PCCNTR.7208702</t>
  </si>
  <si>
    <t>Prestar servicios profesionales de acompañamiento jurídico en los asuntos de gestión contractual de la entidad, en especial, lo relacionado con la Subdirección de Gestión de la Información.</t>
  </si>
  <si>
    <t>MARIA CAMILA HERRERA CHARRY</t>
  </si>
  <si>
    <t>C-2106-1900-14-53105B-2106034-02</t>
  </si>
  <si>
    <t>ANGELA LOBO BELTRÁN</t>
  </si>
  <si>
    <t>2025114140100028E</t>
  </si>
  <si>
    <t>CO1.PCCNTR.7209950</t>
  </si>
  <si>
    <t>EDWIN ANDRES GARCIA AMAYA</t>
  </si>
  <si>
    <t>TERMINACION ANTICIPADA</t>
  </si>
  <si>
    <t>2025114140100029E</t>
  </si>
  <si>
    <t>CO1.PCCNTR.7209574</t>
  </si>
  <si>
    <t>Prestar servicios profesionales para apoyar los procesos contractuales de la
entidad, en especial aquellos necesarios en aras de contribuir a la aplicación de la
metodología de enfoque territorial de la UPME</t>
  </si>
  <si>
    <t>DIANA CAROLINA ARMENTA CELIS</t>
  </si>
  <si>
    <t>C-2106-1900-10-53105E-2106005-02</t>
  </si>
  <si>
    <t>ORDEN DE COMPRA</t>
  </si>
  <si>
    <t>2025114340100048E</t>
  </si>
  <si>
    <t>TVEC</t>
  </si>
  <si>
    <t>COMPRAVENTA</t>
  </si>
  <si>
    <t>OC-140719</t>
  </si>
  <si>
    <t>Suministrar la gasolina para los
vehículos oficiales de propiedad de la UPME</t>
  </si>
  <si>
    <t>DISTRACOM S.A</t>
  </si>
  <si>
    <t>A-02-02-01-003-003</t>
  </si>
  <si>
    <t>JENNY PEÑA ROZO</t>
  </si>
  <si>
    <t>2025114140000024E</t>
  </si>
  <si>
    <t>CO1.PCCNTR.7207433</t>
  </si>
  <si>
    <t>Prestar los servicios profesionales para realizar el seguimiento y control de los
procesos contractuales, la ejecución presupuestal y demás actividades que se
requieran para el cumplimiento de las metas y objetivos de la Subdirección de
Demanda, asociados a las iniciativas y proyectos de FNCE, GEE e Hidrógeno.</t>
  </si>
  <si>
    <t>ROBERTO JOSE HERNANDEZ DAZA</t>
  </si>
  <si>
    <t>A-05-01-02-008-003</t>
  </si>
  <si>
    <t>LINDA LILIANA MONDRAGON ACOSTA</t>
  </si>
  <si>
    <t>SUBDIRECCION DE DEMANDA</t>
  </si>
  <si>
    <t>2025114140100032E</t>
  </si>
  <si>
    <t>CO1.PCCNTR.7210854</t>
  </si>
  <si>
    <t>Prestar servicios profesionales para asesorar a la Dirección General en el
relacionamiento con entidades públicas, entidades no gubernamentales y
actores legislativos, en el marco del seguimiento de los planes y programas
del sector minero energético.</t>
  </si>
  <si>
    <t>JOHANA CAROLINA BASTIDAS BURGOS</t>
  </si>
  <si>
    <t>C-2106-1900-10-53105E-2106022-02</t>
  </si>
  <si>
    <t>JULIANA CAMACHO MARTINEZ</t>
  </si>
  <si>
    <t>DIRECCION GENERAL</t>
  </si>
  <si>
    <t>2025114140100026E</t>
  </si>
  <si>
    <t>CO1.PCCNTR.7208227</t>
  </si>
  <si>
    <t>Prestar servicios profesionales para coordinar el seguimiento de la planeaciónestratégica, los procesos contractuales y la ejecución presupuestal delproyecto de Enfoque Territorial de la Dirección General, garantizando el cumplimiento efectivo de sus metas y su integración en la planificación energética nacional.</t>
  </si>
  <si>
    <t>JUAN DAVID BERNAL HERRERA</t>
  </si>
  <si>
    <t>JOHANNA CASTALLANOS ARIAS</t>
  </si>
  <si>
    <t>SUBDIRECCION DE GESTION DE LA INFORMACION</t>
  </si>
  <si>
    <t>2025114140000033E</t>
  </si>
  <si>
    <t>CO1.PCCNTR.7211854</t>
  </si>
  <si>
    <t>Prestar los servicios profesionales a la Subdirección de Minería que sirvan como soporte para fijar el precio base de liquidación de regalías de los diferentes minerales que se explotan en el país, análisis de datos que soporten la planeación sectorial minera, análisis de mercados de minerales para fortalecer la gestión investigativa en temas sectoriales, generando estrategias que dinamicen el desarrollo del sector y su incidencia en los territorios, así como de soporte administrativo para el manejo de la subdirección.</t>
  </si>
  <si>
    <t>ANGIE CAROLINA PIÑEROS GUZMAN</t>
  </si>
  <si>
    <t>C-2106-1900-12-40302A-2106003-02</t>
  </si>
  <si>
    <t>FRANCY ALEXANDRA HERRERA OSPINA</t>
  </si>
  <si>
    <t>SUBDIRECCION DE MINERIA</t>
  </si>
  <si>
    <t>2025114140000030E</t>
  </si>
  <si>
    <t>CO1.PCCNTR.7210815</t>
  </si>
  <si>
    <t>Prestar servicios profesionales para apoyar la elaboración e implementación de los planes internos de gestión de la Dirección General de la UPME, optimizando la coordinación entre sectores y asegurando la eficacia de las acciones internas, para una planificación integral en el ámbito minero-energético.</t>
  </si>
  <si>
    <t>NORMA CONSTANZA TIRADO RONCANCIO</t>
  </si>
  <si>
    <t>2025114140100027E</t>
  </si>
  <si>
    <t>CO1.PCCNTR.7209522</t>
  </si>
  <si>
    <t>Prestar los servicios profesionales para realizar el seguimiento y control de los trámites de pagos y certificados de cumplimiento asociados a la ejecución presupuestal y demás actividades que se requieran para el cumplimiento de las metas y objetivos de la Subdirección de Demanda, asociados a las iniciativas y proyectos de FNCE, GEE e Hidrógeno</t>
  </si>
  <si>
    <t>BRAYAN JAVIER BAUTISTA PENAGOS</t>
  </si>
  <si>
    <t>Maria Alejandra Bermudez Rodriguez</t>
  </si>
  <si>
    <t>2025114140000008E</t>
  </si>
  <si>
    <t>CO1.PCCNTR.7208871</t>
  </si>
  <si>
    <t>Prestar los servicios profesionales para la formulación, actualización y seguimiento a la ejecución presupuestal, procesos contractuales, planes institucionales y proyectos de inversión de la Unidad de Planeación Minero Energética asignados, así como los relacionados con proyectos de Fuentes No Convencionales de Energía, Gestión Eficiente de la Energía e Hidrógeno.</t>
  </si>
  <si>
    <t>ADRIANA KATHERINE MUNAR APONTE</t>
  </si>
  <si>
    <t>OLIVER QUINTERO PERDOMO</t>
  </si>
  <si>
    <t>OFICINA ASESORA DE PLANEACION</t>
  </si>
  <si>
    <t>2025114140000038E</t>
  </si>
  <si>
    <t>CO1.PCCNTR.7213727</t>
  </si>
  <si>
    <t>Prestar servicios profesionales para el seguimiento y control del Plan Estratégico, Plan de Acción y Proyecto de Inversión de la Oficina de Tecnologías de la Información, incluyendo el acompañamiento en la ejecución presupuestal, la gestión de procesos precontractuales y demás actividades administrativas, asegurando la eficiencia en la asignación de recursos y la optimización de procesos institucionales.</t>
  </si>
  <si>
    <t>DANIELA ALEJANDRA AVILA MONTENEGRO</t>
  </si>
  <si>
    <t>ERIC MAURICIO VARGAS FORERO</t>
  </si>
  <si>
    <t>OTI</t>
  </si>
  <si>
    <t>2025114140000015E</t>
  </si>
  <si>
    <t>CO1.PCCNTR.7211982</t>
  </si>
  <si>
    <t>Prestar servicios profesionales para el desarrollo de las actividades relacionadas con la administración - Riesgos, Calidad y Planes de mejora de los GIT que hacen parte de la Secretaría General, así como apoyar desde el componente jurídico las metas, programas y proyectos a cargo de la Secretaría General.</t>
  </si>
  <si>
    <t>MARIA PAULA NIÑO GUARÍN cedido a CATALINA BALLESTEROS SANCHEZ</t>
  </si>
  <si>
    <t>1022380851
1013590021</t>
  </si>
  <si>
    <t>Rubén Darío Gallego González</t>
  </si>
  <si>
    <t>2025114140100042E</t>
  </si>
  <si>
    <t>CO1.PCCNTR.7216895</t>
  </si>
  <si>
    <t>Prestar los servicios profesionales para apoyar y gestionar las actividades relacionadas con el proceso de atención al ciudadano y la política de participación ciudadana de la UPME.</t>
  </si>
  <si>
    <t>MAGNERY EDITH VARGAS MORALES</t>
  </si>
  <si>
    <t>A-02-02-02-008-003</t>
  </si>
  <si>
    <t>JENNY PATRICIA PEÑA ROZO</t>
  </si>
  <si>
    <t>SECRETARI GENERAL GIT ADMINISTRATIVO</t>
  </si>
  <si>
    <t>2025114140100040E</t>
  </si>
  <si>
    <t>CO1.PCCNTR.7215061</t>
  </si>
  <si>
    <t>Prestar servicios profesionales para realizar el seguimiento y control de las actividades de planeación estratégica, procesos contractuales, ejecución presupuestal y ejecución del proyecto de inversión, para el cumplimiento de las metas y objetivos de la subdirección de hidrocarburos; así como realizar acompañamiento en las diferentes actividades del sistema de gestión.</t>
  </si>
  <si>
    <t>SINDY ALEXANDRA CORTES PARRA</t>
  </si>
  <si>
    <t>C-2103-1900-2-40301B-2103026-02</t>
  </si>
  <si>
    <t>MAURICIO ANDRÉS PALMA OROZCO</t>
  </si>
  <si>
    <t>SUBDIRECCIÓN DE HIDROCARBUROS</t>
  </si>
  <si>
    <t>2025114140000016E</t>
  </si>
  <si>
    <t>CO1.PCCNTR.7215087</t>
  </si>
  <si>
    <t>Prestar los servicios profesionales de apoyo temático económico para la investigación de estudios sectoriales relacionados con minerales estratégicos para la elaboración de análisis de mercado que permitan viabilizar los lineamientos de la planeación para el sector.</t>
  </si>
  <si>
    <t>SERGIO FERNANDO SANCHEZ DELGADO</t>
  </si>
  <si>
    <t>2025114140000036E</t>
  </si>
  <si>
    <t>CO1.PCCNTR.7212348</t>
  </si>
  <si>
    <t>Prestar servicios profesionales para la evaluación, análisis, construcción de conceptos técnicos y actualizaciones tecnológicas para el trámite de incentivos tributarios de los proyectos de Fuentes No Convencionales de Energía, Gestión Eficiente de la Energía e Hidrógeno presentados a la UPME.</t>
  </si>
  <si>
    <t>CATALINA CASTILLO VERDUGO</t>
  </si>
  <si>
    <t>A-05-01-02-008-003 SERVICIOS</t>
  </si>
  <si>
    <t>INGRID GISELLA QUIROGA MOJICA</t>
  </si>
  <si>
    <t>SUBDIRECCIÓN DE DEMANDA</t>
  </si>
  <si>
    <t>2025114140000035E</t>
  </si>
  <si>
    <t>CO1.PCCNTR.7212382</t>
  </si>
  <si>
    <t>Prestar servicios profesionales para la evaluación, análisis, creación y actualización de estadísticas e indicadores de los proyectos de Fuentes No Convencionales de Energía, Gestión Eficiente de la Energía e Hidrógeno presentados a la UPME</t>
  </si>
  <si>
    <t>ANDRES STEVEN MORALES RODRIGUEZ</t>
  </si>
  <si>
    <t>HECTOR HERNANDO HERRERA FLOREZ</t>
  </si>
  <si>
    <t>2025114140000037E</t>
  </si>
  <si>
    <t>CO1.PCCNTR.7212724</t>
  </si>
  <si>
    <t>Prestar servicios profesionales para la gestión jurídica relacionada con la actualización normativa que rige el proceso de incentivos tributarios, la respuesta oportuna a PQRS y a los recursos administrativos contra las decisiones en la evaluación de los proyectos de Fuentes No Convencionales de Energía, Gestión Eficiente de la Energía e Hidrógeno</t>
  </si>
  <si>
    <t>STEFANNY ALEXANDRA BERMUDEZ JIMENEZ</t>
  </si>
  <si>
    <t>JOHANNA VARGAS FERRUCHO</t>
  </si>
  <si>
    <t>OFICINA ASESORA JURIDICA</t>
  </si>
  <si>
    <t>2025114140000007E</t>
  </si>
  <si>
    <t>CO1.PCCNTR.7212893</t>
  </si>
  <si>
    <t>Prestar los servicios profesionales para realizar el seguimiento y control de los
procesos contractuales, la ejecución presupuestal y demás actividades que se
requieran para el cumplimiento de las metas y objetivos de la Subdirección de
Energía Eléctrica, asociados a las iniciativas y proyectos de transmisión,
generación, convocatorias y cobertura.</t>
  </si>
  <si>
    <t>DIANA MARCELA PARAMO MONTOYA</t>
  </si>
  <si>
    <t>DIANA MARCELA MONTAÑA SILVA</t>
  </si>
  <si>
    <t>SUBDIRECCION DE ENERGIA ELECTRICA</t>
  </si>
  <si>
    <t>2025114140000001E</t>
  </si>
  <si>
    <t>CO1.PCCNTR.7212661</t>
  </si>
  <si>
    <t>Prestar los servicios profesionales para realizar el seguimiento y control de la planeación estratégica de la Subdirección de Energía Eléctrica, gestión de resultados, procesos contractuales, ejecución presupuestal, sistema de gestión de la calidad y seguimiento a la gestión documental de los procesos de transmisión, generación, convocatorias y cobertura.</t>
  </si>
  <si>
    <t>KAREN JULIETH RODRIGUEZ BARRERO</t>
  </si>
  <si>
    <t xml:space="preserve">2025114340100303E </t>
  </si>
  <si>
    <t>OC-145535</t>
  </si>
  <si>
    <t>Adquirir la suscripción de Power
BI para la visualización de datos de la entidad</t>
  </si>
  <si>
    <t>UNION TEMPORAL BGH 2024</t>
  </si>
  <si>
    <t>C-2199-1900-5-53105B-2199065-02</t>
  </si>
  <si>
    <t>JAIRO RIAÑO MORENO</t>
  </si>
  <si>
    <t>OFICINA DE TECNOLOGIAS DE LA INFORMACION</t>
  </si>
  <si>
    <t xml:space="preserve">2025114340100302E </t>
  </si>
  <si>
    <t>Adquirir el servicio de
licenciamiento de Office 365 usado en la entidad</t>
  </si>
  <si>
    <t>ALFAPEOPLE ANDINO</t>
  </si>
  <si>
    <t>C-2199-1900-5-53105B-2199067-02</t>
  </si>
  <si>
    <t>JAIRO RIAÑO MORNEO</t>
  </si>
  <si>
    <t>2025114140000009E</t>
  </si>
  <si>
    <t>CO1.PCCNTR.7213082</t>
  </si>
  <si>
    <t>Prestar los servicios profesionales para asesorar la implementación y
mantenimiento del Sistema de Gestión Institucional y la apropiación e
implementación del Modelo Integrado de Planeación y Gestión- MIPG.</t>
  </si>
  <si>
    <t>DIANA CAROLINA BOHORQUEZ GIL</t>
  </si>
  <si>
    <t>C-2199-1900-4-53105B-2199062-02</t>
  </si>
  <si>
    <t>DIEGO ARMANDO VANEGAS PAEZ</t>
  </si>
  <si>
    <t>OFICINA ASESORA DE PLANEACIÓN</t>
  </si>
  <si>
    <t>2025114140100010E</t>
  </si>
  <si>
    <t>CO1.PCCNTR.7215006</t>
  </si>
  <si>
    <t>Prestar los servicios profesionales para apoyar la formulación, actualización y seguimiento de los proyectos de inversión, así como la elaboración de las herramientas para la elaboración de los informes solicitados por las partes interesadas del proceso de direccionamiento estratégico de la UPME.</t>
  </si>
  <si>
    <t>JENNYFER ROCIO FERNANDEZ GALVIS</t>
  </si>
  <si>
    <t>C-2199-1900-4-53105B-2199056-02</t>
  </si>
  <si>
    <t>VIVIANA PATRICIA MURCIA MOSUCHA</t>
  </si>
  <si>
    <t>2025114140000039E</t>
  </si>
  <si>
    <t>CO1.PCCNTR.7212702</t>
  </si>
  <si>
    <t>Prestar servicios profesionales para la evaluación y análisis de la información de los proyectos de Fuentes No Convencionales de Energía y Gestión Eficiente de la Energía.</t>
  </si>
  <si>
    <t xml:space="preserve">ADRIAN CAMILO CORTES VILLADA cedido a KELLY JOHANA GALARZA TORRES </t>
  </si>
  <si>
    <t>1193447899
1032497990</t>
  </si>
  <si>
    <t>WILLIAM ALBERTO MARTINEZ MORENO</t>
  </si>
  <si>
    <t>2025114140100043E</t>
  </si>
  <si>
    <t>CO1.PCCNTR.7217580</t>
  </si>
  <si>
    <t>Prestación de servicios profesionales para el diseño gráfico de los portales y las plataformas interactivas web que sean requeridas por la UPME.</t>
  </si>
  <si>
    <t>JUAN MANUEL ZUÑIGA</t>
  </si>
  <si>
    <t>JOHN ALEJANDRO BARRIOS AVILA</t>
  </si>
  <si>
    <t>SUBDIRECCIÓN DE GESTIÓN DE LA INFORMACIÓN</t>
  </si>
  <si>
    <t>2025114140000005E</t>
  </si>
  <si>
    <t>CO1.PCCNTR.7215046</t>
  </si>
  <si>
    <t>Prestar los servicios profesionales para brindar asesoría en los asuntos relacionados con la planeación estratégica, procesos contractuales y administrativos que adelante la Oficina de Gestión de Proyectos de Fondos de la UPME.</t>
  </si>
  <si>
    <t>DAVID LEONARDO PEÑA GONZALEZ</t>
  </si>
  <si>
    <t>C-2102-1900-5-53106A-2102008-02</t>
  </si>
  <si>
    <t>MAXIMILIANO BUENO LÓPEZ</t>
  </si>
  <si>
    <t>JEFE (E) OFICINA PROYECTOS DE FONDOS</t>
  </si>
  <si>
    <t>2025114140100041E</t>
  </si>
  <si>
    <t>CO1.PCCNTR.7213573</t>
  </si>
  <si>
    <t>Prestar los servicios profesionales para la gestión en la ejecución de los ingresos y gastos de comercialización y producción, apoyo en el seguimiento técnico, administrativo y financiero al cumplimiento del objeto del contrato de la fiducia mercantil y apoyo en las actividades relacionadas de la gestión de tesorería.</t>
  </si>
  <si>
    <t>ANDREA YANIRA GUTIERREZ CAMELO</t>
  </si>
  <si>
    <t>SANDRA PATRICIA ALVAREZ GARCIA</t>
  </si>
  <si>
    <t>GIT DE GESTION FINANCIERA</t>
  </si>
  <si>
    <t>2025114140000034E</t>
  </si>
  <si>
    <t>CO1.PCCNTR.7214050</t>
  </si>
  <si>
    <t>Prestar servicios profesionales para el desarrollo de actividades relacionadas con la gestión presupuestal en el marco de la gestión del conocimiento de la entidad.</t>
  </si>
  <si>
    <t>DARIO SANTIESTEBAN MARTINEZ</t>
  </si>
  <si>
    <t>HOLLMAN FERNANDO CORREDOR PEREZ</t>
  </si>
  <si>
    <t>SECRETARIA GENERAL- GIT GESTIÓN FINANCIERA</t>
  </si>
  <si>
    <t>2025114140100044E</t>
  </si>
  <si>
    <t>CO1.PCCNTR.7218834</t>
  </si>
  <si>
    <t>Prestación de servicios profesionales para el diseño, estructuración, desarrollo e implementación de las mejoras y requerimientos que sean necesarios para los portales interactivos y las aplicaciones web bajo la responsabilidad de la UPME.</t>
  </si>
  <si>
    <t>AURA MARÍA BERMÚDEZ</t>
  </si>
  <si>
    <t>2025114140000023E</t>
  </si>
  <si>
    <t>PRESTACION DE SERVICIOS DE APOYO A LA GESTION</t>
  </si>
  <si>
    <t>CO1.PCCNTR.7218018</t>
  </si>
  <si>
    <t>Prestación de servicios de apoyo para el procesamiento y resolución de peticiones, quejas y reclamos que se alleguen en el marco de las actividades desarrolladas por la subdirección de energía eléctrica.</t>
  </si>
  <si>
    <t>ADRIAN GUTIERREZ HUERTAS</t>
  </si>
  <si>
    <t>JORGE ZULUAGA OROZCO</t>
  </si>
  <si>
    <t>2025114140100045E</t>
  </si>
  <si>
    <t>CO1.PCCNTR.7218727</t>
  </si>
  <si>
    <t>Prestar los servicios profesionales para asesorar jurídicamente a la Subdirección de Energía Eléctrica, en los procedimientos y actuaciones administrativas a su cargo.</t>
  </si>
  <si>
    <t>PAOLA ANDREA TORRES CHACON</t>
  </si>
  <si>
    <t>YENNY CAROLINA BARRERA RODRÍGUEZ</t>
  </si>
  <si>
    <t>OFICINA ASESORA JURÍDICA</t>
  </si>
  <si>
    <t>2025114140000011E</t>
  </si>
  <si>
    <t>CO1.PCCNTR.7217655</t>
  </si>
  <si>
    <t>Prestar servicios de apoyo a la gestión para la atención de los requerimientos e incidencias relacionadas con la operación de las Tecnologías de la Información de la entidad, aplicando buenas prácticas en la gestión de servicios de TI.</t>
  </si>
  <si>
    <t>EDISSON VELASQUEZ RIVERA</t>
  </si>
  <si>
    <t>OFICINA DE TECNOLOGÍAS DE LA INFORMACIÓN</t>
  </si>
  <si>
    <t>2025114140100067E</t>
  </si>
  <si>
    <t>CO1.PCCNTR.7233421</t>
  </si>
  <si>
    <t>Actualización y soporte del sistema de gestión documental de la Unidad, basado en ARGO/ORFEOGPL, para la Unidad de Planeación Minero Energética -UPME.</t>
  </si>
  <si>
    <t>INFOMETRIKA</t>
  </si>
  <si>
    <t>JOHN SANCHEZ ANTIA</t>
  </si>
  <si>
    <t>SECRETARIA GENERAL-GIT DE GESTION ADMINISTRATIVA</t>
  </si>
  <si>
    <t>2025114140000020E</t>
  </si>
  <si>
    <t>CO1.PCCNTR.7233044</t>
  </si>
  <si>
    <t>Prestar los servicios profesionales para realizar y apoyar las diferentes actividades que fortalezcan la gestión del conocimiento por medio de la implementación de las políticas del Modelo Integrado de Planeación y Gestión MIPG y la política de Gestión del Talento Humano, en especial el programa de capacitación del Sistema de Gestión de Seguridad y Salud en el Trabajo de la UPME.</t>
  </si>
  <si>
    <t>CRISTIAN ELIECER BEDOYA GONZÁLEZ</t>
  </si>
  <si>
    <t>LILIANA ASTRID CASTILLO ECHAVARRIA</t>
  </si>
  <si>
    <t>SECRETARIA GENERAL- GIT GESTIÓN DE TALENTO HUMANO</t>
  </si>
  <si>
    <t>2025114140000002E</t>
  </si>
  <si>
    <t>CO1.PCCNTR.7231698</t>
  </si>
  <si>
    <t>Prestar servicios profesionales para brindar apoyo a la Subdirección de Minería aportando análisis técnicos de la planeación y aspectos sociales asociados a la industria minera con el fin de contribuir con la planeación del sector y divulgación de información.</t>
  </si>
  <si>
    <t>JOVANA NEGRETE FLOREZ</t>
  </si>
  <si>
    <t>2025114140100049E</t>
  </si>
  <si>
    <t>CO1.PCCNTR.7230550</t>
  </si>
  <si>
    <t>Prestar los servicios profesionales para apoyar el seguimiento y control de la ejecución presupuestal y financiera de los recursos de funcionamiento e inversión asignados a la Secretaría General, así como brindar apoyo en la gestión de nómina de la UPME.</t>
  </si>
  <si>
    <t>GLADYS MARIANELA BURGOS</t>
  </si>
  <si>
    <t>PAULA JOHANA RUIZ QUINTANA</t>
  </si>
  <si>
    <t>2025114140100081E</t>
  </si>
  <si>
    <t>CO1.PCCNTR.7229767</t>
  </si>
  <si>
    <t>Prestar servicios profesionales para la evaluación y análisis, así como la conceptualización de solicitudes de ampliación de listados de los proyectos de Fuentes No Convencionales de Energía, Gestión Eficiente de la Energía e Hidrógeno presentados a la UPME.</t>
  </si>
  <si>
    <t>MONICA RUEDA VEGA</t>
  </si>
  <si>
    <t>RUTH NAVAS CONTRERAS</t>
  </si>
  <si>
    <t>2025114140000046E</t>
  </si>
  <si>
    <t>CO1.PCCNTR.7230326</t>
  </si>
  <si>
    <t>Prestar los servicios profesionales para realizar el seguimiento y control de las actividades administrativas, financieras y contractuales y demás que se requieran para el cumplimiento de las metas y objetivos de la Subdirección de Demanda</t>
  </si>
  <si>
    <t>WILLMAN ANDRÉS RAMÍREZ CARRILLO</t>
  </si>
  <si>
    <t>IVAN DARIO GOMEZ REYES</t>
  </si>
  <si>
    <t>2025114140000047E</t>
  </si>
  <si>
    <t>CO1.PCCNTR.7230359</t>
  </si>
  <si>
    <t>Prestar servicios profesionales para la evaluación y análisis de la información de los proyectos de Fuentes No Convencionales de Energía y Gestión Eficiente de la Energía</t>
  </si>
  <si>
    <t>JUAN JOSÉ CASTAÑO</t>
  </si>
  <si>
    <t>2025114140000004E</t>
  </si>
  <si>
    <t>CO1.PCCNTR.7238540</t>
  </si>
  <si>
    <t>Prestar servicios profesionales para brindar apoyo a la Subdirección de Minería en la actualización y alistamiento de herramientas de modelamiento matemático y estadístico para los estudios económicos requeridos en el marco de la planeación minera.</t>
  </si>
  <si>
    <t>CARLOS DARIO CRISTIANO BOTIA</t>
  </si>
  <si>
    <t>2025114140000054E</t>
  </si>
  <si>
    <t>CO1.PCCNTR.7236456</t>
  </si>
  <si>
    <t>Prestar los servicios profesionales para asistir y acompañar la gestión de la dimensión del Talento Humano, en su componente de selección, vinculación capacitación, gestión del Conocimiento, así como apoyar lo inherente a Evaluación de Desempeño, Evaluación de la Gestión Institucional y Acuerdos de Gestión</t>
  </si>
  <si>
    <t>PAOLA ANDREA GARCÍA RUEDA</t>
  </si>
  <si>
    <t>LILIANA CASTILLO ECHAVARRIA</t>
  </si>
  <si>
    <t>GIT DE TALENTO HUMANO</t>
  </si>
  <si>
    <t>2025114140100050E</t>
  </si>
  <si>
    <t>CO1.PCCNTR.7237232</t>
  </si>
  <si>
    <t>Prestar servicios profesionales para apoyar la recopilación y análisis de
información para línea base y definición de estrategias de eficiencia energética
en materia de movilidad; así como, apoyar la construcción de modelos
computacionales enfocados en la predicción del comportamiento del sector
transporte como insumos para el PEN 2024-2054, en el marco de la Transición
Energética Justa TEJ.</t>
  </si>
  <si>
    <t>DAVID ANDRÉS SERRATO TOBÓN</t>
  </si>
  <si>
    <t>C-2106-1900-13-40302B-2106003-02</t>
  </si>
  <si>
    <t>2025114140000055E</t>
  </si>
  <si>
    <t>CO1.PCCNTR.7236808</t>
  </si>
  <si>
    <t>Prestar servicios profesionales para apoyar los análisis beneficio costo de los documentos de planeamiento de la Subdirección, a partir de la información derivada de los proyectos de FNCE, GEE e Hidrógeno, en el marco de la transición energética del país</t>
  </si>
  <si>
    <t>ERIKA JOHANA FLOREZ CHALA</t>
  </si>
  <si>
    <t>OLGA VICTORIA GONZALEZ GONZALEZ</t>
  </si>
  <si>
    <t>SUBDIREECCION DE DEMANDA</t>
  </si>
  <si>
    <t>2025114140000052E</t>
  </si>
  <si>
    <t>CO1.PCCNTR.7236878</t>
  </si>
  <si>
    <t>Prestar servicios profesionales para apoyar los análisis, consolidación, revisión y ajuste de los documentos de planeamiento energético priorizados de la Subdirección de demanda en el marco de la Transición Energética Justa, TEJ.</t>
  </si>
  <si>
    <t>VERONICA ORTIZ CERON</t>
  </si>
  <si>
    <t>2025114140000053E</t>
  </si>
  <si>
    <t>CO1.PCCNTR.7235879</t>
  </si>
  <si>
    <t>Prestar los servicios profesionales para apoyar en los procesos de gestión documental y el apoyo en el marco legal y regulatorio relacionados con las metas y objetivos de la Subdirección de Demanda, asociados a las iniciativas y proyectos de FNCE y GEE</t>
  </si>
  <si>
    <t>JUAN DAVID ARBELAEZ GALVEZ</t>
  </si>
  <si>
    <t>JOHANA VARGAS FERRUCHO</t>
  </si>
  <si>
    <t>2025114140100070E</t>
  </si>
  <si>
    <t>CO1.PCCNTR.7253621</t>
  </si>
  <si>
    <t>Prestar servicios de apoyo a la gestión en la mesa de servicio para atender, registrar, clasificar
y dar solución de primer nivel a los requerimientos e incidencias tecnológicas reportadas por los
usuarios, bajo las buenas prácticas ITIL y los procedimientos establecidos para la gestión de
servicios de TI.</t>
  </si>
  <si>
    <t>ESTEFANY LIZETTE CAJAMARCA MARTINEZ</t>
  </si>
  <si>
    <t>2025114140100069E</t>
  </si>
  <si>
    <t>CO1.PCCNTR.7253814</t>
  </si>
  <si>
    <t>Prestar servicios profesionales para la administración de las herramientas de seguridad perimetral de la UPME y en la elaboración de Conceptos Técnicos, lineamientos, políticas y demás documentación, relacionada con el Dominio de Arquitectura de Seguridad Digital para la Unidad</t>
  </si>
  <si>
    <t>HENDRIX SUAREZ CARDENAS</t>
  </si>
  <si>
    <t>GUSTAVO BAQUERO CANDIA</t>
  </si>
  <si>
    <t>2025114140100058E</t>
  </si>
  <si>
    <t>CO1.PCCNTR.7236551</t>
  </si>
  <si>
    <t>Prestar los servicios profesionales en conceptos técnicos de ingeniería eléctrica y jurídico regulatorios para la planificación minero energética nacional en la UPME, con enfoque interseccional en los aspectos ambiental, social y territorial relacionados con el sector minero-energético</t>
  </si>
  <si>
    <t>CHRISTIAN CAMILO VARGAS ARGUELLO</t>
  </si>
  <si>
    <t>2025114140100123E</t>
  </si>
  <si>
    <t>CO1.PCCNTR.7238053</t>
  </si>
  <si>
    <t>Prestar los servicios profesionales para participar en el análisis y
procesamiento de solicitudes de los agentes interesados en conectarse a la
red nacional, regional y de distribución a través de la metodología de
evaluación y análisis eléctricos de flujos de carga, corto y estabilidad y
conceptos sobre las solicitudes de asignación de capacidad.</t>
  </si>
  <si>
    <t>BRANDON STID HUACA CUELLAR</t>
  </si>
  <si>
    <t>LUIS FERNANDO LOPEZ PINEDA</t>
  </si>
  <si>
    <t>2025114140100063E</t>
  </si>
  <si>
    <t>CO1.PCCNTR.7238896</t>
  </si>
  <si>
    <t>Efectuar el seguimiento socioambiental de los proyectos definidos en el plan de expansión que son objeto de convocatoria pública, e identificar problemáticas y opciones de solución que alimenten las etapas previas de planeación y estructuración.</t>
  </si>
  <si>
    <t>AURA MARÍA LEON</t>
  </si>
  <si>
    <t>C-2102-1900-6-40301C-2102071-02</t>
  </si>
  <si>
    <t>DAVID RICARDO MURCIA CORTES</t>
  </si>
  <si>
    <t>2025114140000051E</t>
  </si>
  <si>
    <t>CO1.PCCNTR.7237610</t>
  </si>
  <si>
    <t>Prestar servicios profesionales para el seguimiento en los procesos de diseño, evaluación y análisis de proyectos de eficiencia energética para la climatización y refrigeración en Colombia en el marco de la Transición Energética Justa, TEJ.</t>
  </si>
  <si>
    <t>BOLÍVAR ANDRÉS MONROY MATALLAN</t>
  </si>
  <si>
    <t>OLGA VICTORIA GONZÁLEZ GONZÁLEZ</t>
  </si>
  <si>
    <t>2025114140100060E</t>
  </si>
  <si>
    <t>CO1.PCCNTR.7238976</t>
  </si>
  <si>
    <t>Asesorar jurídicamente a la Subdirección de Energía Eléctrica en el proceso,
verificación y cumplimiento de requisitos legales de las solicitudes de
asignación de capacidad de transporte, respuestas asociadas y atención de
acciones de carácter jurídico, en lo relacionado con la aplicación de la
Resolución CREG 075 de 2021 y procedimientos relacionados con la expansión
del sistema eléctrico.</t>
  </si>
  <si>
    <t>JORGE MARIO GUEVARA GONZALEZ</t>
  </si>
  <si>
    <t>CAROLINA BARRERA RODRIGUEZ</t>
  </si>
  <si>
    <t>2025114140100056E</t>
  </si>
  <si>
    <t>CO1.PCCNTR.7240157</t>
  </si>
  <si>
    <t>Prestar los servicios profesionales en el proceso de gestión
documental en la implementación del Plan Institucional de Archivos - PINAR,
el Programa de Gestión Documental - PGD, el Sistema Integrado de
Conservación - SIC, y en general las actividades sobre gestión documental
que se definan en el Plan de Acción para la vigencia 2025 de la Unidad de
Planeación Minero-Energética.</t>
  </si>
  <si>
    <t>NUBIA MARINA ESTUPIÑAN HURTADO</t>
  </si>
  <si>
    <t>C-2106-1900-14-53105B-2106010-02</t>
  </si>
  <si>
    <t>YEZMY VARGAS RUIZ</t>
  </si>
  <si>
    <t>GIT DE GESTION ADMINISTRATIVA</t>
  </si>
  <si>
    <t>2025114140100059E</t>
  </si>
  <si>
    <t>CO1.PCCNTR.7239664</t>
  </si>
  <si>
    <t>Prestación de servicios profesionales de estructuración gráfica de
documentos, diseño digital, presentaciones de diversa índole que sean
requeridos por el área de comunicaciones.</t>
  </si>
  <si>
    <t>JUAN DAVID CACERES MONTOYA</t>
  </si>
  <si>
    <t>C-2106-1900-14-53105B-2106019-02</t>
  </si>
  <si>
    <t>JEIMMY POSOS RAMIREZ</t>
  </si>
  <si>
    <t>2025114140100057E</t>
  </si>
  <si>
    <t>CO1.PCCNTR.7238309</t>
  </si>
  <si>
    <t>Prestar servicios profesionales para la evaluación, análisis, construcción de
conceptos técnicos y actualizaciones tecnológicas para el trámite de incentivos
tributarios de los proyectos de Fuentes No Convencionales de Energía,
Gestión Eficiente de la Energía e Hidrógeno presentados a la UPME.</t>
  </si>
  <si>
    <t>LUIS GABRIEL ZARRATE POLANIA</t>
  </si>
  <si>
    <t>2025114140100073E</t>
  </si>
  <si>
    <t>CO1.PCCNTR.7250418</t>
  </si>
  <si>
    <t>Prestar servicios profesionales para apoyar jurídicamente a la Subdirección de Hidrocarburos en la coordinación, ejecución y seguimiento de la política pública correspondiente al sector de los hidrocarburos.</t>
  </si>
  <si>
    <t>ADRIANA CRISTINA BARRERA CASTRO</t>
  </si>
  <si>
    <t>C-2103-1900-2-40301B-2103025-02</t>
  </si>
  <si>
    <t>2025114140100062E</t>
  </si>
  <si>
    <t>CO1.PCCNTR.7245713</t>
  </si>
  <si>
    <t>Prestar servicios profesionales a la coordinación técnica para la formulación de lineamientos económicos y/o financieros que contribuyan al desarrollo de los documentos de planeación del subsector de hidrocarburos</t>
  </si>
  <si>
    <t>NASHLA NAYELI GONZáLEZ CLEVES</t>
  </si>
  <si>
    <t>CESAR PINEDA GOMEZ</t>
  </si>
  <si>
    <t>SUBDIRECCION DE HIDROCARBUROS</t>
  </si>
  <si>
    <t>2025114140000019E</t>
  </si>
  <si>
    <t>CO1.PCCNTR.7242992</t>
  </si>
  <si>
    <t>Prestar los servicios profesionales para asistir las actividades que fortalezcan la Gestión del Conocimiento por medio de la Dimensión del Talento Humano mediante la implementación de las políticas del Modelo Integrado de Planeación y Gestión MIPG, en especial la Política de Integridad y la Política de Gestión del Talento Humano.</t>
  </si>
  <si>
    <t>EDGAR SAUL VARGAS SOTO</t>
  </si>
  <si>
    <t>2025114140000003E</t>
  </si>
  <si>
    <t>CO1.PCCNTR.7243623</t>
  </si>
  <si>
    <t>Prestar servicios profesionales para adelantar los asuntos jurídicos derivados de la gestión del talento humano de la Unidad de Planeación Minero Energética</t>
  </si>
  <si>
    <t xml:space="preserve">MARTHA ADRIANA CATALINA BALLESTEROS SANCHEZ cedido a ANDREA LUCIA SALAZAR ROCHA </t>
  </si>
  <si>
    <t>1013590021
26428474</t>
  </si>
  <si>
    <t>RUBEN DARIO GALLEGO GONZALEZ</t>
  </si>
  <si>
    <t>2025114140100065E</t>
  </si>
  <si>
    <t>CO1.PCCNTR.7245575</t>
  </si>
  <si>
    <t>Prestar los servicios profesionales para apoyar la gestión de bases de datos, sistemas de información y el seguimiento de la gestión de trámites automatizados mediante plataformas asociadas a la Oficina de Gestión de Proyectos de Fondos de la Unidad de Planeación Minero Energética.</t>
  </si>
  <si>
    <t>LISETH CAROLINA MYERSTON</t>
  </si>
  <si>
    <t>IVAN DARIO GOMEZ ALVAREZ</t>
  </si>
  <si>
    <t>2025114140100064E</t>
  </si>
  <si>
    <t>CO1.PCCNTR.7245598</t>
  </si>
  <si>
    <t>Prestar servicios profesionales para el monitoreo al desarrollo de proyectos de generación a partir de Fuentes No Convencionales de Energía Renovable reconociendo y articulando acciones interinstitucionales para prever y gestionar aspectos decisivos para la entrada de operación de los proyectos.</t>
  </si>
  <si>
    <t>MARIA CAMILA MEJIA MADRID</t>
  </si>
  <si>
    <t>MAXIMILIANO BUENO LOPEZ</t>
  </si>
  <si>
    <t>2025114140100061E</t>
  </si>
  <si>
    <t>CO1.PCCNTR.7245419</t>
  </si>
  <si>
    <t>Prestar servicios profesionales para el análisis de la información, la preparación y divulgación de documentos de planeación de la Subdirección de Demanda, en el marco de la Transición Energética Justa (TEJ).</t>
  </si>
  <si>
    <t>LAURA FLECHAS MEJíA</t>
  </si>
  <si>
    <t>C-2106-1900-13-40302B-2106010-02</t>
  </si>
  <si>
    <t>2025114140100080E</t>
  </si>
  <si>
    <t>CO1.PCCNTR.7256686</t>
  </si>
  <si>
    <t>Prestar los servicios profesionales para la preparación y divulgación de documentos de planeación, considerando el diseño, evaluación y análisis de la expansión de la generación y la transmisión nacional, regional y local, la cobertura del servicio de energía eléctrica, así como participar en la aplicación de las metodologías de evaluación y análisis económicos y tarifarios, gestión de información técnica, requisitos regulatorios y gestión de resultados.</t>
  </si>
  <si>
    <t>KELLY ANDREA TORO TORO</t>
  </si>
  <si>
    <t>C-2102-1900-6-40301C-2102009-02       C-2103-1900-2-40301B-2103026-02</t>
  </si>
  <si>
    <t>HECTOR ANDRES ROSERO BECERRA</t>
  </si>
  <si>
    <t>contrato</t>
  </si>
  <si>
    <t>2025114140100066E</t>
  </si>
  <si>
    <t>CO1.PCCNTR.7254981</t>
  </si>
  <si>
    <t>Prestar servicios profesionales en la gestión de los planes, programas y proyectos para la implementación de la Estrategia Institucional de Cooperación Internacional de la UPME.</t>
  </si>
  <si>
    <t>KAREN TATIANA GIRON USECHE</t>
  </si>
  <si>
    <t xml:space="preserve">
C-2106-1900-10-53105E-2106005-02      C-2106-1900-10-53105E-2106022-02</t>
  </si>
  <si>
    <t>LUISA FERNANDA LOPEZ ARIAS</t>
  </si>
  <si>
    <t>2025114140100068E</t>
  </si>
  <si>
    <t>CO1.PCCNTR.7253311</t>
  </si>
  <si>
    <t>Prestación de servicios profesionales para contribuir en la estructuración de procesos contractuales requeridos por la Subdirección de Gestión de la Información, así como la formulación, seguimiento y reporte de los diferentes instrumentos de planeación.</t>
  </si>
  <si>
    <t>ARUCI MAURICIO KUARAN LUQUEZ</t>
  </si>
  <si>
    <t>JOHANNA STELLA CASTELLANOS ARIAS</t>
  </si>
  <si>
    <t>2025114140100071E</t>
  </si>
  <si>
    <t xml:space="preserve">	CO1.PCCNTR.7253988</t>
  </si>
  <si>
    <t>Prestar servicios profesionales en el diseño y automatización de procesos sobre la plataforma adoptada en la UPME, en especial aquellos relacionados con el proceso asociado al trámite de incentivos tributarios.</t>
  </si>
  <si>
    <t>OSCAR IVAN MARQUEZ SALAZAR</t>
  </si>
  <si>
    <t>FREDY ALBERTO JURADO RUBIO</t>
  </si>
  <si>
    <t>2025114140100074E</t>
  </si>
  <si>
    <t>CO1.PCCNTR.7264942</t>
  </si>
  <si>
    <t>Prestar servicios profesionales para apoyar en la gestión de la mesa de servicio, medición de indicadores y atención de solicitudes e incidencias de los servicios tecnológicos de la UPME.</t>
  </si>
  <si>
    <t>SANDRA MILENA ROMERO VARGAS</t>
  </si>
  <si>
    <t>2025114140100076E</t>
  </si>
  <si>
    <t>CO1.PCCNTR.7255180</t>
  </si>
  <si>
    <t>Prestar servicios profesionales para la actualización del dominio de arquitectura de infraestructura TI de la UPME articulándola con las definiciones de arquitectura del sector y con los demás dominios de arquitectura establecidos en la Entidad.</t>
  </si>
  <si>
    <t>FERNANDO LINARES CASTRO</t>
  </si>
  <si>
    <t>EDGAR ALEXANDER PÉREZ GUAVITA</t>
  </si>
  <si>
    <t>2025114140100095E</t>
  </si>
  <si>
    <t xml:space="preserve">	CO1.PCCNTR.7259306</t>
  </si>
  <si>
    <t>Prestar los servicios profesionales para asesorar a la Oficina de Gestión de Proyectos de Fondos en asuntos relacionados con la planeación energética y en la evaluación integral de proyectos de fondos de energía eléctrica y gas combustible</t>
  </si>
  <si>
    <t>OLGA ESTELLA RAMíREZ YAIMA</t>
  </si>
  <si>
    <t>JOHANNA ALEXANDRA LARROTTA CORTÉS</t>
  </si>
  <si>
    <t>OFICINA DE GESTIÓN DE PROYECTOS DE FONDOS</t>
  </si>
  <si>
    <t>2025114140100079E</t>
  </si>
  <si>
    <t xml:space="preserve">	CO1.PCCNTR.7255926</t>
  </si>
  <si>
    <t>Prestar los servicios profesionales para la revisión, validación y la emisión de los conceptos técnicos y financieros de los proyectos que solicitan recursos al Fondo de Apoyo Financiero para la Energización de las Zonas Rurales Interconectadas (FAER) y de los demás fondos y mecanismos de financiación evaluados por la Unidad de Planeación Minero Energética.</t>
  </si>
  <si>
    <t>SANDRA MILENA SANCHEZ MENDOZA cedido a FELIPE HUMBERTO CORREDOR</t>
  </si>
  <si>
    <t>1053773920
1052394906</t>
  </si>
  <si>
    <t>LUIS FERNANDA CORREA OSORIO</t>
  </si>
  <si>
    <t>2025114140100083E</t>
  </si>
  <si>
    <t>CO1.PCCNTR.7265924</t>
  </si>
  <si>
    <t>Prestar servicios profesionales para la solución de problemas o incidentes presentados sobre los sistemas de información implementados en la UPME o en la plataforma tecnológica que los soportan.</t>
  </si>
  <si>
    <t>NINROTH ESPINOSA MUÑOZ</t>
  </si>
  <si>
    <t>2025114140100075E</t>
  </si>
  <si>
    <t>CO1.PCCNTR.7263732</t>
  </si>
  <si>
    <t>Prestar los servicios profesionales para realizar la emisión de conceptos de los proyectos que solicitan recursos al mecanismo de Obras por impuesto y a los demás mecanismos y fondos de financiación revisados por la Unidad de Planeación Minero Energética.</t>
  </si>
  <si>
    <t>KEVIN ENRIQUE RAMOS HERNÁNDEZ</t>
  </si>
  <si>
    <t>CESAR GUSTAVO PINZON CAMARGO</t>
  </si>
  <si>
    <t>2025114140000077E</t>
  </si>
  <si>
    <t>CO1.PCCNTR.7260523</t>
  </si>
  <si>
    <t>Prestar servicios profesionales orientados al fortalecimiento de la dimensión de control interno a través de la ejecución del Plan Anual de Auditorías con énfasis en la evaluación y seguimiento de recursos financieros de la UPME.</t>
  </si>
  <si>
    <t xml:space="preserve">	BLANCA DEL PILAR SALGADO SALGUERO</t>
  </si>
  <si>
    <t>A-05-01-02-008-003      C-2102-1900-5-53106A-2102008-02      C-2102-1900-6-40301C-2102009-02      C-2103-1900-2-40301B-2103026-02      C-2106-1900-10-53105E-2106005-02</t>
  </si>
  <si>
    <t>LEONEL MAURICIO VELANDIA GOMEZ</t>
  </si>
  <si>
    <t>OFICINA DE CONTROL INTERNO</t>
  </si>
  <si>
    <t>2025114140100078E</t>
  </si>
  <si>
    <t>CO1.PCCNTR.7262212</t>
  </si>
  <si>
    <t>Prestar los servicios profesionales para la revisión, validación y emisión de los conceptos técnicos y financieros de los proyectos energéticos que solicitan recursos a la Financiera de Desarrollo Territorial FINDETER y de los demás fondos y mecanismos de financiación evaluados por la Unidad de Planeación Minero Energética (UPME).</t>
  </si>
  <si>
    <t xml:space="preserve">	GERARDO TEJEDOR PEREZ</t>
  </si>
  <si>
    <t>2025114140100072E</t>
  </si>
  <si>
    <t xml:space="preserve">	CO1.PCCNTR.7260913</t>
  </si>
  <si>
    <t>Prestar servicios profesionales orientados al fortalecimiento de la política de control interno mediante la ejecución del plan anual de auditorías con énfasis en la gestión administrativa de la UPME</t>
  </si>
  <si>
    <t>ESTEFANIA AYA NAVARRO</t>
  </si>
  <si>
    <t>A-05-01-02-008-003     C-2102-1900-5-53106A-2102008-02      C-2102-1900-6-40301C-2102009-02     C-2103-1900-2-40301B-2103026-02     C-2106-1900-10-53105E-2106005-02      C-2106-1900-12-40302A-2106003-02     C-2106-1900-14-53105B-2106010-02      C-2199-1900-5-53105B-2199065-02       C-2199-1900-4-53105B-2199056-02</t>
  </si>
  <si>
    <t>2025114140100084E</t>
  </si>
  <si>
    <t xml:space="preserve">	CO1.PCCNTR.7263041</t>
  </si>
  <si>
    <t>Prestar servicios profesionales para asesorar a la Oficina de Gestión de Proyectos de Fondos (OGPF) en metodologías de evaluación de proyectos de ampliación de cobertura de gas combustible asignados a la UPME para acudir a recursos de los distintos Fondos y Mecanismos de Cofinanciación.</t>
  </si>
  <si>
    <t>CESAR HERNAN SOTELO SANCHEZ</t>
  </si>
  <si>
    <t>OSCAR EDUARDO ESCOBAR MOLINA</t>
  </si>
  <si>
    <t>2025114140100104E</t>
  </si>
  <si>
    <t>PRESTACION DE SERVICIOS</t>
  </si>
  <si>
    <t>CO1.PCCNTR.7268839</t>
  </si>
  <si>
    <t>Prestar los servicios para realizar exámenes médicos de
vinculación (Ingreso) y desvinculación (Retiro) de los funcionarios de la Unidad de
Planeación Minero Energética.</t>
  </si>
  <si>
    <t>SALUD OCUPACIONAL SANITAS</t>
  </si>
  <si>
    <t>A-02-02-02-009-003</t>
  </si>
  <si>
    <t>JOSE MORALES DIAZ</t>
  </si>
  <si>
    <t xml:space="preserve">	CO1.PCCNTR.7268541</t>
  </si>
  <si>
    <t>Prestar servicios de apoyo a la gestión de las labores de caracterización de los procesos y procedimientos jurídicos para el logro de los objetivos institucionales de la UPME.</t>
  </si>
  <si>
    <t>Nancy Yurany Vanegas Celis</t>
  </si>
  <si>
    <t>JAIME EDUARDO HINCAPIÉ ORREGO</t>
  </si>
  <si>
    <t>2025114140100088E</t>
  </si>
  <si>
    <t>CO1.PCCNTR.7269226</t>
  </si>
  <si>
    <t>Prestar servicios profesionales en el habilitador de la política de gobierno digital relacionado con servicios ciudadanos digitales, para el mantenimiento de los procesos automatizados en el BPMS, implementados por la UPME, de acuerdo con los requerimientos y prioridad que se defina en el Plan Estratégico de Tecnologías de la Información.</t>
  </si>
  <si>
    <t>Jehison David Cifuentes Cortes</t>
  </si>
  <si>
    <t>2025114140100085E</t>
  </si>
  <si>
    <t>CO1.PCCNTR.7270418</t>
  </si>
  <si>
    <t>Prestar servicios profesionales para la implementación, mantenimiento, administración y aseguramiento de las bases de datos que soportan las aplicaciones o portales de la Entidad, garantizando su rendimiento, disponibilidad y capacidad de recuperación.</t>
  </si>
  <si>
    <t>GILDARDO ANDRES VARGAS ACUÑA</t>
  </si>
  <si>
    <t>CLAUDIA MARCELA BELTRAN BERMUDEZ</t>
  </si>
  <si>
    <t>2025114140100086E</t>
  </si>
  <si>
    <t>CO1.PCCNTR.7269456</t>
  </si>
  <si>
    <t>Prestar los servicios profesionales para realizar la emisión de conceptos de los proyectos que solicitan recursos al Sistema General de Regalías (SGR) en energía eléctrica y tecnologías renovables, así como los demás mecanismos y fondos de financiación revisados por la Unidad de Planeación Minero Energética</t>
  </si>
  <si>
    <t>CARLOS ARTURO ACOSTA SANCHEZ</t>
  </si>
  <si>
    <t>ANDRES LEONARDO ORTIZ MUÑOZ</t>
  </si>
  <si>
    <t>2025114140100091E</t>
  </si>
  <si>
    <t>CO1.PCCNTR.7292416</t>
  </si>
  <si>
    <t>Prestar los servicios profesionales para apoyar las actividades relacionadas con la gestión administrativa de la Secretaría General de la UPME.</t>
  </si>
  <si>
    <t>EDMA MARITZA REAL SALINAS</t>
  </si>
  <si>
    <t>2025114140000105E</t>
  </si>
  <si>
    <t>PRESTACIÓN DE SERVICIOS PROFESIONALES</t>
  </si>
  <si>
    <t>CO1.PCCNTR.7294133</t>
  </si>
  <si>
    <t>Prestar los servicios profesionales en las acciones relacionadas con la
capacidad administrativa de los bienes y servicios requeridos por la UPME.</t>
  </si>
  <si>
    <t xml:space="preserve">PAOLA GOMEZ MARTINEZ </t>
  </si>
  <si>
    <t>OSCAR NICOLAS MEJIA DEVIA</t>
  </si>
  <si>
    <t>2025114140100092E</t>
  </si>
  <si>
    <t>CO1.PCCNTR.7295769</t>
  </si>
  <si>
    <t>Prestar los servicios profesionales y asesoría especializada para el desarrollo de actividades relacionadas con la gestión tributaria de la entidad a cargo del Grupo Interno de Trabajo de Gestión Financiera de la Secretaría General, todo de conformidad con lo señalado en los estudios previos y la propuesta, los cuales forman parte integral del contrato.</t>
  </si>
  <si>
    <t>ASDRUBAL GONZALEZ PUENTES</t>
  </si>
  <si>
    <t>PAOLA ADREA PINO OSORIO</t>
  </si>
  <si>
    <t>SECRETARIA GENERAL GIT FINANCIERO</t>
  </si>
  <si>
    <t>CO1.PCCNTR.7299247</t>
  </si>
  <si>
    <t>Prestar servicios profesionales para la integración de herramientas socioambientales contribuyendo al desarrollo de infraestructura energética, asegurando un enfoque integral y sostenible.</t>
  </si>
  <si>
    <t>CATALINA LONDOÑO PALACINO</t>
  </si>
  <si>
    <t>CO1.PCCNTR.7307572</t>
  </si>
  <si>
    <t>Prestar servicios profesionales para articular la gestión interinstitucional con actores fundamentales en la planeación energética.</t>
  </si>
  <si>
    <t>JUAN CAMILO SANCHEZ SALAZAR</t>
  </si>
  <si>
    <t>DIRECCIÓN GENERAL</t>
  </si>
  <si>
    <t>2025114140100090E</t>
  </si>
  <si>
    <t xml:space="preserve">	CO1.PCCNTR.7292780</t>
  </si>
  <si>
    <t>Prestar los servicios profesionales para realizar la emisión de conceptos de los proyectos que solicitan recursos al Programa de Sustitución de Leña (PSL) y a los demás mecanismos y fondos de financiación revisados por la Unidad de Planeación Minero Energética.</t>
  </si>
  <si>
    <t>JOHN EDINSON QUIÑONES VALENTIERRA</t>
  </si>
  <si>
    <t>2025114140100094E</t>
  </si>
  <si>
    <t>CO1.PCCNTR.7294342</t>
  </si>
  <si>
    <t>Prestar servicios profesionales para la gestión jurídica relacionada con la respuesta oportuna a PQRS y a los recursos administrativos contra las decisiones en la evaluación de los proyectos de Fuentes No Convencionales de Energía, Gestión Eficiente de la Energía e Hidrógeno.</t>
  </si>
  <si>
    <t>CARMEN YAJAIRA PALOMEQUE LUJAN</t>
  </si>
  <si>
    <t>JOHANNA CONSTANZA VARGAS FERRUCHO</t>
  </si>
  <si>
    <t>2025114140100089E</t>
  </si>
  <si>
    <t>CO1.PCCNTR.7298915</t>
  </si>
  <si>
    <t>Prestación de servicios de apoyo a la gestión para la documentación y actualización de los lineamientos de gobierno de datos y la metodología de gestión de la información, con un énfasis en el rol de ingeniero de datos, así como el apoyo en el posicionamiento de Intégrame.</t>
  </si>
  <si>
    <t>MARLET YOJANA GARCIA PAEZ</t>
  </si>
  <si>
    <t>CARLOS FERNANDO VALLES FRANCO</t>
  </si>
  <si>
    <t>SUBDIRECCION GESTION DE LA INFORMACION</t>
  </si>
  <si>
    <t>2025114140100098E</t>
  </si>
  <si>
    <t>CO1.PCCNTR.7299167</t>
  </si>
  <si>
    <t>Prestar servicios profesionales para la evaluación, análisis, construcción y consolidación de procedimiento de evaluación de los proyectos de Fuentes No Convencionales de Energía, Gestión Eficiente de la Energía e Hidrógeno presentados a la UPME.</t>
  </si>
  <si>
    <t>ALISON XIMENA ROZO CRUZ</t>
  </si>
  <si>
    <t>ROBINSON ALEXANDER GONZALEZ PARRA</t>
  </si>
  <si>
    <t>CO1.PCCNTR.7299749</t>
  </si>
  <si>
    <t>Prestar servicios profesionales para la evaluación, análisis, creación y actualización de estadísticas e indicadores de los proyectos de Fuentes No Convencionales de Energía, Gestión Eficiente de la Energía e Hidrógeno presentados a la UPME.</t>
  </si>
  <si>
    <t>MIGUEL VIVEROS MIRA</t>
  </si>
  <si>
    <t>MARIA ALEJANDRA BERMUDEZ RODRIGUEZ</t>
  </si>
  <si>
    <t>2025114140100099E</t>
  </si>
  <si>
    <t>CO1.PCCNTR.7299191</t>
  </si>
  <si>
    <t>SARAY GISELLA GOMEZ GARNICA</t>
  </si>
  <si>
    <t>CO1.PCCNTR.7300256</t>
  </si>
  <si>
    <t>ANGELA PATRICIA TORRES LUNA</t>
  </si>
  <si>
    <t>2025114140000101E</t>
  </si>
  <si>
    <t>CO1.PCCNTR.7306619</t>
  </si>
  <si>
    <t>Prestación de servicios de apoyo a la gestión para la difusión de información institucional a través de los portales interactivos administrados por la entidad, con especial énfasis del portal web de la entidad.</t>
  </si>
  <si>
    <t>RICARDO ANTONIO CAMARGO BERNAL</t>
  </si>
  <si>
    <t>FREDY GABRIEL BAUTISTA RUIZ</t>
  </si>
  <si>
    <t xml:space="preserve">2025114140100100E
</t>
  </si>
  <si>
    <t>CO1.PCCNTR.7312242</t>
  </si>
  <si>
    <t>Prestar servicios profesionales para la elaboración de metodologías para la
proyección de precios de los energéticos en el contexto de la política de
transición energética requeridos por la Subdirección de Hidrocarburos..</t>
  </si>
  <si>
    <t>Lina Maritza Castellanos Uribe</t>
  </si>
  <si>
    <t>SANDRA MILENA ALZATE</t>
  </si>
  <si>
    <t xml:space="preserve">2025114140100101E
</t>
  </si>
  <si>
    <t>CO1.PCCNTR.7305544</t>
  </si>
  <si>
    <t>Prestación de servicios profesionales de diagramación de documentos, diseño y diagramación de datos, diseño de piezas para canales digitales de la UPME y necesidades generales de diseño en el área de comunicaciones.</t>
  </si>
  <si>
    <t>DIEGO JOSE PEÑARANDA</t>
  </si>
  <si>
    <t>CONTRATO</t>
  </si>
  <si>
    <t>2025114140100129E</t>
  </si>
  <si>
    <t>CONTRATO PRESTACION DE SERVICIOS PROFESIONALES</t>
  </si>
  <si>
    <t>CO1.PCCNTR.7309812</t>
  </si>
  <si>
    <t>Prestar los servicios profesionales para realizar los análisis económico y de
 costos de infraestructura de los planes de abastecimiento y confiabilidad
 requeridos por la Subdirección de Hidrocarburos.</t>
  </si>
  <si>
    <t>RAÚL BAEZ DELGADO</t>
  </si>
  <si>
    <t>- -</t>
  </si>
  <si>
    <t>MAGDA MALLEN SIERRA URREGO</t>
  </si>
  <si>
    <t>2025114140100167E</t>
  </si>
  <si>
    <t>CO1.PCCNTR.7311700</t>
  </si>
  <si>
    <t>Prestar servicios profesionales para la actualización y administración del Modelo de Seguridad
 y Privacidad de la Información -MSPI-, de conformidad con la normatividad vigente.</t>
  </si>
  <si>
    <t>ELKIN JAVIER ROJAS ROA</t>
  </si>
  <si>
    <t>SANDRA PATRICIA ZAMBRANO TAPIA</t>
  </si>
  <si>
    <t>2025114140000135E</t>
  </si>
  <si>
    <t>CO1.PCCNTR.7314388</t>
  </si>
  <si>
    <t>Prestación de servicios profesionales en la Oficina de Tecnologías de la
 Información para la definición y aplicación de herramientas, instrumentos y
 metodologías en la gestión de proyectos de TI, que contribuyan a la
 implementación de la política de gobierno digital en la Entidad.</t>
  </si>
  <si>
    <t>ADRIANA YASMILI ROJAS ORTIZ</t>
  </si>
  <si>
    <t>2025114000000134E</t>
  </si>
  <si>
    <t>CO1.PCCNTR.7309915</t>
  </si>
  <si>
    <t>Prestar los servicios profesionales para realizar la emisión de
 conceptos de los proyectos que solicitan recursos al Sistema General de
 Regalías (SGR) y a los demás mecanismos y fondos de financiación revisados
 por la Unidad de Planeación Minero Energética.</t>
  </si>
  <si>
    <t>RAFAEL ANGELO LUQUE GONZÁLEZ</t>
  </si>
  <si>
    <t>2025114140000136E</t>
  </si>
  <si>
    <t>CO1.PCCNTR.7315420</t>
  </si>
  <si>
    <t>Prestar servicios profesionales para la gestión jurídica en las actuaciones
 administrativas misionales, y lo que de ello se derive, contribuyendo al
 desempeño institucional de la Entidad, en particular, lo relacionado con las
 FNCE y GEE.</t>
  </si>
  <si>
    <t>ADRIANA DURAN CENTENO cedido a FERNANDO ENRIQUE AMAYA cedido a LUCY RUBIO NOCUA</t>
  </si>
  <si>
    <t>1095809712
80229481
1026571313</t>
  </si>
  <si>
    <t>NATALIA TOVAR JAIMES</t>
  </si>
  <si>
    <t>2025114000000132E</t>
  </si>
  <si>
    <t>CO1.PCCNTR.7333126</t>
  </si>
  <si>
    <t>Prestar servicios profesionales para la gestión jurídica relacionada con la
 respuesta oportuna a PQRS y la emisión de los actos administrativos
 misionales de la UPME, en particular, lo relacionado con las FNCE y GEE.</t>
  </si>
  <si>
    <t>NICOLAS FERNANDO BELTRAN ALEMAN</t>
  </si>
  <si>
    <t>2025114140000137E</t>
  </si>
  <si>
    <t>CO1.PCCNTR.7310313</t>
  </si>
  <si>
    <t>NELSON ALBERTO SALGADO BENITEZ</t>
  </si>
  <si>
    <t>2025114000000133E</t>
  </si>
  <si>
    <t>CO1.PCCNTR.7322955</t>
  </si>
  <si>
    <t>Prestar servicios profesionales de diagramación de documentos, diseño y
 diagramación de datos, diseño de piezas para canales digitales de la UPME y
 necesidades generales de diseño en el área de comunicaciones.</t>
  </si>
  <si>
    <t>MARIA FERNANDA CORREDOR BENAVIDES</t>
  </si>
  <si>
    <t>JEIMY POSOS RAMIREZ</t>
  </si>
  <si>
    <t>2025114140000138E</t>
  </si>
  <si>
    <t>CO1.PCCNTR.7311815</t>
  </si>
  <si>
    <t>Prestación de servicios profesionales para el seguimiento y documentación integral de las actividades
 de la Subdirección de Gestión de la Información, así como para la proyección
 oportuna y eficiente de los oficios y actos administrativos requeridos por la
 dependencia</t>
  </si>
  <si>
    <t>DIEGO TORRES AYALA</t>
  </si>
  <si>
    <t>C-2106-1900-14-53105B-2106010-02    C-2106-1900-14-53105B-2106033-02    C-2106-1900-14-53105B-2106034-02</t>
  </si>
  <si>
    <t>2025114140000139E</t>
  </si>
  <si>
    <t>CO1.PCCNTR.7322343</t>
  </si>
  <si>
    <t>Prestar servicios profesionales para la gestión jurídica en la verificación de
 requisitos legales de competencia de la Unidad de Planeación Minero
 Energética, su debido cumplimiento, y lo que de ello se derive, en especial, lo
 relacionado con el sector de hidrocarburos.</t>
  </si>
  <si>
    <t>YULY TATIANA PALACIOS VARGAS</t>
  </si>
  <si>
    <t>2025114140000140E</t>
  </si>
  <si>
    <t>CO1.PCCNTR.7368367</t>
  </si>
  <si>
    <t>Prestar servicios profesionales para la construcción de modelos matemáticos y de
analítica de datos, la elaboración y divulgación de documentos de planeación, en el
marco de la Transición Energética Justa, TEJ</t>
  </si>
  <si>
    <t>JHON ALEXANDER SANCHEZ CARDOZO</t>
  </si>
  <si>
    <t>A-05-01-02-008-003    C-2106-1900-14-53105B-2106010-02    C-2106-1900-14-53105B-2106034-02</t>
  </si>
  <si>
    <t>2025114140000145E</t>
  </si>
  <si>
    <t>CO1.PCCNTR.7314501</t>
  </si>
  <si>
    <t>Prestar los servicios profesionales y asesoría para fortalecer la apropiación del
 proceso contable de la entidad, así como el control contable y conciliación de
 la información de los activos fijos de la entidad.</t>
  </si>
  <si>
    <t>Yeimy Buitrago Vargas</t>
  </si>
  <si>
    <t>PAOLA PINO OSORIO</t>
  </si>
  <si>
    <t>2025114140000141E</t>
  </si>
  <si>
    <t>CO1.PCCNTR.7333105</t>
  </si>
  <si>
    <t>Prestar servicios profesionales en asuntos jurídicos relacionados con la
 planeación del sector eléctrico, la asignación de capacidad de transporte y
 demás procesos administrativos de competencia de la Subdirección de Energía
 Eléctrica, y lo que de ello se derive.</t>
  </si>
  <si>
    <t>HECTOR GUSTAVO MONROY CADAVID</t>
  </si>
  <si>
    <t>2025114000000131E</t>
  </si>
  <si>
    <t>INTERADMINISTRATIVO</t>
  </si>
  <si>
    <t>CO1.PCCNTR.7297643</t>
  </si>
  <si>
    <t>Prestar el servicio de arrendamiento para bodegaje y
administración integral del archivo central de la UPME.</t>
  </si>
  <si>
    <t>ARCHIVOS DEL ESTADO</t>
  </si>
  <si>
    <t>A-02-02-02-009-007</t>
  </si>
  <si>
    <t>2025114140000147E</t>
  </si>
  <si>
    <t>CO1.PCCNTR.7316296</t>
  </si>
  <si>
    <t>Prestar servicios profesionales para apoyar la gestión jurídica relacionada con
 las actuaciones administrativas misionales de la Subdirección de Energía
 Eléctrica, la respuesta oportuna a PQRS, la emisión de los respectivos actos
 administrativos y lo que de ello se derive.</t>
  </si>
  <si>
    <t>PAOLA ANDREA PARAMO ARAGON</t>
  </si>
  <si>
    <t>2025114140000149E</t>
  </si>
  <si>
    <t>CO1.PCCNTR.7314969</t>
  </si>
  <si>
    <t>Prestar servicios profesionales para la divulgación y socialización de los
 procesos asociados a los proyectos De Fuentes no convencionales de
 energía, gestión eficiente de la energía y los asociados a la planeación
 energética a largo plazo.</t>
  </si>
  <si>
    <t>DAVID FELIPE CESPEDES RODRIGUEZ</t>
  </si>
  <si>
    <t>LINDA MAYERLY CARDENAS RAMIREZ</t>
  </si>
  <si>
    <t>2025114140000148E</t>
  </si>
  <si>
    <t>CO1.PCCNTR.7314668</t>
  </si>
  <si>
    <t>CAROLINA BOLAÑOS OCAMPO</t>
  </si>
  <si>
    <t>FINALIZADO</t>
  </si>
  <si>
    <t>2025114140000150E</t>
  </si>
  <si>
    <t>CO1.PCCNTR.7323805</t>
  </si>
  <si>
    <t>Prestar los servicios profesionales a la subdirección de minería para la
 unificación de los documentos de planeación e investigación, corrección de
 estilo y aporte en la dimensión social.</t>
  </si>
  <si>
    <t>JUAN PABLO CIFUENTES NIÑO</t>
  </si>
  <si>
    <t>MARIA CAROLINA OBANDO VARGAS</t>
  </si>
  <si>
    <t>SUBDIRECCIÓN DE MINERIA</t>
  </si>
  <si>
    <t>2025114140100178E</t>
  </si>
  <si>
    <t>CO1.PCCNTR.7316322</t>
  </si>
  <si>
    <t>Prestar servicios profesionales para el diseño e implementación de la
 Arquitectura de Sistemas de Información y la política de gobierno digital.</t>
  </si>
  <si>
    <t>WILLIAM FERNANDO FONSECA REYES</t>
  </si>
  <si>
    <t>Fredy Alberto Jurado Rubio</t>
  </si>
  <si>
    <t>2025114140000142E</t>
  </si>
  <si>
    <t>CO1.PCCNTR.7317033</t>
  </si>
  <si>
    <t>Prestar servicios profesionales para la creación de contenido, divulgación y
 socialización de los proyectos, planes y gestión de la UPME.</t>
  </si>
  <si>
    <t>LAURA CAROLINA BERRIO FLOREZ</t>
  </si>
  <si>
    <t>2025114140100170E</t>
  </si>
  <si>
    <t>CO1.PCCNTR.7319342</t>
  </si>
  <si>
    <t>Prestar servicios profesionales para el desarrollo y/o ajuste de aplicaciones
 web, servicios web y/o APIS, permitiendo fortalecer la interoperabilidad y los
 sistemas de información de la entidad.</t>
  </si>
  <si>
    <t>EDWIN ALEXANDER BAUTISTA HERNANDEZ</t>
  </si>
  <si>
    <t>2025114140100165E</t>
  </si>
  <si>
    <t>CO1.PCCNTR.7328226</t>
  </si>
  <si>
    <t>Prestar servicios profesionales para el diseño de los procesos definidos en el
 nuevo modelo operativo de la UPME y los elementos (caracterizaciones,
 documentación, normatividad, indicadores de gestión, roles y comunicaciones,
 otros) que los integran.</t>
  </si>
  <si>
    <t>CLAUDIA FERNANDEZ CUBIDES</t>
  </si>
  <si>
    <t>MONICA OVALLE REY</t>
  </si>
  <si>
    <t>2025114140000146E</t>
  </si>
  <si>
    <t>CO1.PCCNTR.7324781</t>
  </si>
  <si>
    <t>Prestar servicios profesionales para brindar apoyo a la subdirección de minería
 en el análisis y propuesta de políticas públicas para la planeación del sector
 minero en Colombia y en la elaboración de una hoja de ruta para el
 seguimiento del PNDM, sus indicadores y monitoreo en el marco de los
 lineamientos y estrategias propuestas por las entidades del sector.</t>
  </si>
  <si>
    <t>JULIÁN ESTEBAN SANTAMARIA ARAGÓN</t>
  </si>
  <si>
    <t>2025114140100151E</t>
  </si>
  <si>
    <t>CO1.PCCNTR.7328240</t>
  </si>
  <si>
    <t>Prestar servicios profesionales para monitorear y gestionar los riesgos de la
 Entidad e identificar, analizar y valorar los asociados al Sistema de
 Administración del Riesgo de Lavado de Activos y de la Financiación del
 Terrorismo – SARLAFT aplicables para la UPME y los que se encuentren
 dentro del marco del Programa de Transparencia y Ética Pública (PTEP).</t>
  </si>
  <si>
    <t>NELSY ANDREA ALZATE SAENZ</t>
  </si>
  <si>
    <t>2025114140000152E</t>
  </si>
  <si>
    <t>CO1.PCCNTR.7367652</t>
  </si>
  <si>
    <t>Prestar servicios profesionales de diagramación de planes y productos, y diversos formatos de datos digitales de la UPME en el área de comunicaciones.</t>
  </si>
  <si>
    <t>ANGIE KATHERINE BARRERA BECERRA</t>
  </si>
  <si>
    <t>Jeimmy Posos Ramirez</t>
  </si>
  <si>
    <t>2025114140000153E</t>
  </si>
  <si>
    <t>CO1.PCCNTR.7348886</t>
  </si>
  <si>
    <t>Prestar servicios de apoyo a la gestión para la UPME en la creación de
 productos audiovisuales para los diferentes canales de la entidad y
 necesidades del Plan Estratégico de Comunicaciones.</t>
  </si>
  <si>
    <t>JEYSON GIOVANNY ORTEGA SANTOFIMIO</t>
  </si>
  <si>
    <t>2025114140000154E</t>
  </si>
  <si>
    <t>CO1.PCCNTR.7343405</t>
  </si>
  <si>
    <t>Realizar el seguimiento a la ejecución de los proyectos de nivel de tensión IV
 que corresponde a la UPME y a los procedimientos asociados, y apoyar los
 análisis, evaluaciones y conceptos sobre las solicitudes de asignación de
 capacidad.</t>
  </si>
  <si>
    <t>SONIA ESPERANZA ECHEVERRIA ROJAS</t>
  </si>
  <si>
    <t>Manuel Acevedo Iles</t>
  </si>
  <si>
    <t>2025114140000155E</t>
  </si>
  <si>
    <t>CO1.PCCNTR.7343441</t>
  </si>
  <si>
    <t>Proporcionar servicios profesionales para realizar el análisis y procesamiento
 de solicitudes de los agentes interesados en conectarse a la red nacional,
 regional y de distribución, incluyendo la evaluación de solicitudes de
 aprobación de Unidades Constructivas de nivel de tensión IV remitidas por los
 distintos transportadores; así como también brindar apoyo a los
 procedimientos asociado al grupo interno de trabajo de transmisión.</t>
  </si>
  <si>
    <t>BRAJHAM DAVID CHITIVA LOZADA</t>
  </si>
  <si>
    <t>JOSE HURTADO SOLIS</t>
  </si>
  <si>
    <t>2025114140100176E</t>
  </si>
  <si>
    <t>CO1.PCCNTR.7343482</t>
  </si>
  <si>
    <t>Prestar los servicios profesionales para participar en el análisis y procesamiento de solicitudes de los agentes interesados en conectarse a la red nacional, regional y de distribución a través de la metodología de evaluación y análisis eléctricos de flujos de carga, corto y estabilidad y apoyar la evaluación de solicitudes de asignación de capacidad de transporte de proyectos de generación y usuarios finales según la resolución CREG 075 de 2021.</t>
  </si>
  <si>
    <t>FREDY AUGUSTO GOMEZ MARTIN</t>
  </si>
  <si>
    <t>PAULA ALEJANDRA BAUTISTA AGUILAR</t>
  </si>
  <si>
    <t>2025114140100166E</t>
  </si>
  <si>
    <t>CO1.PCCNTR.7343412</t>
  </si>
  <si>
    <t>Apoyar el análisis de las solicitudes de asignación de capacidad de proyectos
 de generación y usuarios finales, procesar la información requerida por los
 modelos y participar del proceso de verificación de requisitos y seguimiento a
 los proyectos.</t>
  </si>
  <si>
    <t>WILLIAM FERNANDO VILLAMIL CASTAÑEDA</t>
  </si>
  <si>
    <t>2025114140100161E</t>
  </si>
  <si>
    <t>CO1.PCCNTR.7337347</t>
  </si>
  <si>
    <t>Prestar los servicios profesionales para realizar el mantenimiento de la
 documentación, atención de auditorías, seguimiento y control de las
 herramientas de gestión y acompañamiento de la gestión de riesgos de la
 subdirección de hidrocarburos; así como realizar acompañamiento en las
 diferentes actividades de la planeación estratégica y de los convenios
 supervisados por la subdirección.</t>
  </si>
  <si>
    <t>LUIS ALEJANDRO RODRIGUEZ</t>
  </si>
  <si>
    <t>2025114140100231E</t>
  </si>
  <si>
    <t>CO1.PCCNTR.7335693</t>
  </si>
  <si>
    <t>Prestar servicios profesionales para apoyar los análisis beneficio costo de los
 escenarios del Plan Energético Nacional, PEN, y de las iniciativas o medidas del PAI
 PROURE; en el marco de la transición energética del país.</t>
  </si>
  <si>
    <t>ELKIN EDUARDO RAMIREZ PRIETO</t>
  </si>
  <si>
    <t>C-2106-1900-13-40302B-2106005-02</t>
  </si>
  <si>
    <t>2025114140100160E</t>
  </si>
  <si>
    <t>CO1.PCCNTR.7340328</t>
  </si>
  <si>
    <t>Prestación de servicios profesionales para la actualización de los
 visores geográficos que integran el Geoportal Sectorial, así como la
 implementación de dashboards considerando especialmente las variables
 climáticas de mayor interés para el sector minero energético.</t>
  </si>
  <si>
    <t>JULIETH MARCELA GARCIA</t>
  </si>
  <si>
    <t>2025114140100163E</t>
  </si>
  <si>
    <t>CO1.PCCNTR.7339270</t>
  </si>
  <si>
    <t>Prestar servicios profesionales para efectuar el diagnóstico de estrategias de
 abastecimiento y confiabilidad para el sector de GLP desde la perspectiva
 internacional y su integración al entorno nacional.</t>
  </si>
  <si>
    <t>IVONN MARIÑO HIGUERA</t>
  </si>
  <si>
    <t>EIDER CAMILO QUINTANA SUAREZ</t>
  </si>
  <si>
    <t>2025114140100158E</t>
  </si>
  <si>
    <t>CO1.PCCNTR.7340461</t>
  </si>
  <si>
    <t>Prestar servicios profesionales en el análisis ambiental del enfoque territorial
 de los planes de abastecimiento y confiabilidad y de los proyectos de
 infraestructura que adelanta la subdirección de hidrocarburos</t>
  </si>
  <si>
    <t>KATHERINE RODRIGUEZ LEÓN</t>
  </si>
  <si>
    <t>HENRY OLIVEROS CARVAJAL</t>
  </si>
  <si>
    <t>2025114140100157E</t>
  </si>
  <si>
    <t>CO1.PCCNTR.7341034</t>
  </si>
  <si>
    <t>Prestar servicios profesionales para la estructuración, elaboración y desarrollo
 del Plan Indicativo de Bioenergía para la Región Pacifico a cargo de la
 Subdirección de Hidrocarburos.</t>
  </si>
  <si>
    <t>MAGDA LILIANA BELTRÁN MORATTO</t>
  </si>
  <si>
    <t>Fernando Cardeño Lopez</t>
  </si>
  <si>
    <t>2025114140100168E</t>
  </si>
  <si>
    <t>CO1.PCCNTR.7339853</t>
  </si>
  <si>
    <t>Prestar servicios profesionales para diseñar y divulgar los planes, programas
 y proyectos prioritarios de la Subdirección de Demanda, relacionados con la
 diversificación energética e infraestructura, en el marco de la Transición
 Energética Justa - TEJ.</t>
  </si>
  <si>
    <t>SOFIA DELGADO RAMOS</t>
  </si>
  <si>
    <t>2025114140100190E</t>
  </si>
  <si>
    <t>CO1.PCCNTR.7344401</t>
  </si>
  <si>
    <t>Prestar servicios profesionales para la evaluación, análisis, construcción de
 conceptos técnicos y actualizaciones tecnológicas para el trámite de incentivos
 tributarios de los proyectos de Fuentes No Convencionales de Energía,
 Gestión Eficiente de la Energía e Hidrógeno presentados a la UPME.</t>
  </si>
  <si>
    <t>CRISTIAN DAVID RODRIGUEZ REYES</t>
  </si>
  <si>
    <t>2025114140100162E</t>
  </si>
  <si>
    <t>CO1.PCCNTR.7344442</t>
  </si>
  <si>
    <t>Prestar servicios profesionales para proponer escenarios en un modelo de
 optimización para la transición de la demanda y la oferta de energía en el marco de
 los planes de la subdirección de demanda; a partir de buenas prácticas de
 modelamiento empleadas a nivel internacional.</t>
  </si>
  <si>
    <t>DAVID FERNANDO ROMERO QUETE</t>
  </si>
  <si>
    <t>C-2106-1900-13-40302B-2106005-02    C-2106-1900-13-40302B-2106010-02</t>
  </si>
  <si>
    <t>CO1.PCCNTR.7344961</t>
  </si>
  <si>
    <t>Prestar servicios profesionales para la gestión jurídica en los asuntos de
 competencia de la UPME, en especial, lo relacionado con las FNCE y GEE.</t>
  </si>
  <si>
    <t>RAFAEL ENRIQUE RIOS OSORIO</t>
  </si>
  <si>
    <t>2025114140100159E</t>
  </si>
  <si>
    <t>CO1.PCCNTR.7347019</t>
  </si>
  <si>
    <t>Prestar servicios profesionales en asuntos jurídicos y judiciales relacionados
 con la FNCE y GEE y demás objetivos y productos de la misionalidad de la
 UPME.</t>
  </si>
  <si>
    <t>GIOVANNY ALEXANDER SANABRIA VELAZQUEZ</t>
  </si>
  <si>
    <t>2025114140100171E</t>
  </si>
  <si>
    <t>CO1.PCCNTR.7393821</t>
  </si>
  <si>
    <t>Prestar servicios profesionales para la realización de acopio, organización,
validación y análisis de la información geográfica presentada a la Unidad para
la elaboración del Plan Indicativo de Expansión de Cobertura de Energía
Eléctrica – PIEC y para la obtención del certificado que debe emitir UPME en
relación con los Planes de Expansión de Cobertura de los Operadores de Red.</t>
  </si>
  <si>
    <t>ANGIE ANDREA MONTOYA GONZALEZ</t>
  </si>
  <si>
    <t>DIANA MONTAÑA SILVA</t>
  </si>
  <si>
    <t>2025114140100177E</t>
  </si>
  <si>
    <t>CO1.PCCNTR.7349615</t>
  </si>
  <si>
    <t>Prestación de servicios profesionales orientados al
 fortalecimiento de la política MIPG de Gestión de Información
 Estadística, así como al desarrollo de actividades de analítica de datos
 económicos y macroeconómicos de interés para el sector minero
 energético.</t>
  </si>
  <si>
    <t>JUAN AVENDAÑO</t>
  </si>
  <si>
    <t>CESAR AUGUSTO JEREZ MAYORGA</t>
  </si>
  <si>
    <t>2025114140100172E</t>
  </si>
  <si>
    <t>CONTRATO APOYO A LA GESTION</t>
  </si>
  <si>
    <t>CO1.PCCNTR.7347456</t>
  </si>
  <si>
    <t>Prestación de servicios de apoyo a la gestión orientados a la
 articulación para la producción e intercambio de información técnica y científica
 con universidades, organizaciones de la sociedad civil, centro de investigación
 y pensamiento y actores que desarrollen I+d+i, así como a las requeridas en
 el fortalecimiento del Pacto por la Transición Energética Justa Intensiva en
 Conocimiento.</t>
  </si>
  <si>
    <t>NICOLAS MUÑOZ MORA</t>
  </si>
  <si>
    <t>2025114140100173E</t>
  </si>
  <si>
    <t>CO1.PCCNTR.7348425</t>
  </si>
  <si>
    <t>Prestación de servicios profesionales para el diseño y
desarrollo de la estrategia de divulgación de productos de analítica y del portal
SIMEC, así como la documentación, el diseño y el soporte técnico de los
portales interactivos en desarrollo por la Subdirección de Gestión de la
Información.</t>
  </si>
  <si>
    <t>OLGA LUCIA ROJAS SOLORZANO</t>
  </si>
  <si>
    <t>SUBDIRECCION DE GESTION DE LA INFORMACIO</t>
  </si>
  <si>
    <t>2025114140100164E</t>
  </si>
  <si>
    <t>CO1.PCCNTR.7349227</t>
  </si>
  <si>
    <t>Prestación de servicios profesionales para el desarrollo de las
 actividades concernientes a la actualización y desarrollo de interoperabilidades
 en el sector minero energético, así como en implementación del lenguaje
 común de intercambio de información en las mismas y el diseño e
 implementación de un lago de datos institucional.</t>
  </si>
  <si>
    <t>WILSON SANTAMARIA MOSQUERA</t>
  </si>
  <si>
    <t>CARLOS VALLES</t>
  </si>
  <si>
    <t>2025114140100174E</t>
  </si>
  <si>
    <t>CO1.PCCNTR.7351217</t>
  </si>
  <si>
    <t>Prestar servicios profesionales para la realización de acopio, organización y
análisis de la información presentada a la Unidad por las distintas entidades y
agentes para la obtención de estadísticas e indicadores que contribuyan a la
universalización del servicio de energía eléctrica en el territorio nacional.</t>
  </si>
  <si>
    <t>JORGE ESTEBAN CASTRO GUALDRON</t>
  </si>
  <si>
    <t>2025114140100175E</t>
  </si>
  <si>
    <t>CO1.PCCNTR.7351711</t>
  </si>
  <si>
    <t>Realizar la compilación, verificación, análisis y gestión de la información
relacionada con los procesos de cobertura del servicio de energía eléctrica, y
apoyar la estimación del índice de cobertura ICEE y los análisis de soluciones.</t>
  </si>
  <si>
    <t>LAURA ISABEL GOMEZ</t>
  </si>
  <si>
    <t>CO1.PCCNTR.7353401</t>
  </si>
  <si>
    <t>Prestación de servicios de apoyo a la mesa de ayuda de los procesos que se
 llevan a cabo en la plataforma Bizagi, así como el procesamiento y resolución
 de peticiones, quejas y reclamos que se alleguen en el marco de las
 actividades desarrolladas por la Subdirección de energía eléctrica.</t>
  </si>
  <si>
    <t>GERSON IVAN SANCHEZ ALVAREZ</t>
  </si>
  <si>
    <t>2025114140000193E</t>
  </si>
  <si>
    <t>CO1.PCCNTR.7353918</t>
  </si>
  <si>
    <t>Prestar servicios profesionales para la gestión jurídica de los trámites
 relacionados con los proyectos de Fuentes No Convencionales de Energía -
 FNCE y la Resolución CREG 075 de 2021, y lo que de ello se derive</t>
  </si>
  <si>
    <t>DIANA PAOLA MUÑOZ ROCHA</t>
  </si>
  <si>
    <t>2025114140100179E</t>
  </si>
  <si>
    <t>CO1.PCCNTR.7356828</t>
  </si>
  <si>
    <t>Asesorar jurídicamente a la Subdirección de Energía Eléctrica en el proceso,
 verificación y cumplimiento de requisitos legales de las solicitudes de
 asignación de capacidad de transporte, respuestas asociadas y atención de
 acciones de carácter jurídico, en lo relacionado con la aplicación de la
 Resolución CREG 075 de 2021 y gestiones relacionadas con el trámite de
 conexiones y la gestión de las bases de datos de seguimiento.</t>
  </si>
  <si>
    <t>DAVID FERNANDO RINCON BAUTISTA</t>
  </si>
  <si>
    <t>2025114140100180E</t>
  </si>
  <si>
    <t>CO1.PCCNTR.7364800</t>
  </si>
  <si>
    <t>Prestar los servicios profesionales de asesoría jurídica en aspectos
relacionados con la planeación del sector eléctrico, las actuaciones
administrativas misionales y lo que de ello se derive, contribuyendo al
desempeño institucional con enfoque territorial.</t>
  </si>
  <si>
    <t>EDWIN GABRIEL RODRIGUEZ TORRES</t>
  </si>
  <si>
    <t>2025114140100181E</t>
  </si>
  <si>
    <t>CO1.PCCNTR.7389492</t>
  </si>
  <si>
    <t>Prestar servicios profesionales en asuntos jurídicos y judiciales de la Unidad
de Planeación Minero Energética.</t>
  </si>
  <si>
    <t>ALEJANDRA PATRICIA GIL PEREZ</t>
  </si>
  <si>
    <t>2025114140100188E</t>
  </si>
  <si>
    <t>CO1.PCCNTR.7362555</t>
  </si>
  <si>
    <t>Prestación de servicios profesionales como community manager y
estratega digital con énfasis en la construcción campañas y posicionamiento
de marca.</t>
  </si>
  <si>
    <t>NARGHY NATALIA VARGAS TAPIERO</t>
  </si>
  <si>
    <t>2025114140100192E</t>
  </si>
  <si>
    <t>CO1.PCCNTR.7362534</t>
  </si>
  <si>
    <t>Prestación de servicios profesionales para la construcción
e implementación de los lineamientos sectoriales e institucionales en materia de
gobierno de datos y gestión de información, así como en el diseño, estructuración
y/o implementación de la arquitectura de la información e infraestructura de datos de
la entidad.</t>
  </si>
  <si>
    <t>JOHN JAIRO AVILA ARIAS</t>
  </si>
  <si>
    <t>C-2106-1900-14-53105B-2106033-02         C-2106-1900-14-53105B-2106034-02</t>
  </si>
  <si>
    <t>2025114140100189E</t>
  </si>
  <si>
    <t>CO1.PCCNTR.7362568</t>
  </si>
  <si>
    <t>Prestación de servicios de apoyo a la gestión para la UPME en la
creación de productos audiovisuales para los diferentes canales de la entidad
y necesidades del Plan Estratégico de Comunicaciones.</t>
  </si>
  <si>
    <t>WILSON JOSE HURTADO MENDOZA</t>
  </si>
  <si>
    <t>2025114140100182E</t>
  </si>
  <si>
    <t>CO1.PCCNTR. 7366385</t>
  </si>
  <si>
    <t>Prestar los servicios profesionales para asesorar a la Subdirección de
Demanda en el Marco Legal y Regulatorio de los planes priorizados, y los
aspectos jurídicos de los procesos y actualización administrativa de los
proyectos Fuentes No Convencionales de Energía, Gestión Eficiente de la
Energía e Hidrógeno; en el marco de la transición energética justa.</t>
  </si>
  <si>
    <t>MARIA PAULA CORRALES MENDOZA</t>
  </si>
  <si>
    <t>2025114140000195E</t>
  </si>
  <si>
    <t>CO1.PCCNTR.7364386</t>
  </si>
  <si>
    <t>Prestar servicios profesionales para la evaluación y análisis de la información
de los proyectos de Fuentes No Convencionales de Energía y Gestión
Eficiente de la Energía.</t>
  </si>
  <si>
    <t>ALEJANDRA JIMENEZ RODAS</t>
  </si>
  <si>
    <t>2025114140100185E</t>
  </si>
  <si>
    <t>CO1.PCCNTR.7363896</t>
  </si>
  <si>
    <t>Prestar los servicios profesionales para el apoyo administrativo relacionado
con el contrato de la fiducia mercantil, gestión de tesorería a cargo de GIT de
Gestión Financiera.</t>
  </si>
  <si>
    <t>YEIMY TATIANA ACOSTA GUZMAN</t>
  </si>
  <si>
    <t>RODOLFO RUIZ PARADA</t>
  </si>
  <si>
    <t>SECRETARIA GENERAL- GIT GESTIÓN ADMINISTRATIVA</t>
  </si>
  <si>
    <t>2025114140000196E</t>
  </si>
  <si>
    <t>CO1.PCCNTR.7394519</t>
  </si>
  <si>
    <t>Prestar el servicio de apoyo en todo lo relacionado con los asuntos de
correspondencia de los trámites relacionados con los certificados de proyectos
de Fuentes no Convencionales de Energía y Gestión Eficiente de la Energía y
demás asuntos de la Entidad.</t>
  </si>
  <si>
    <t>ALEJANDRA SANDOVAL CUELLAR</t>
  </si>
  <si>
    <t>2025114140000197E</t>
  </si>
  <si>
    <t>PRESTACIÓN DE SERVICIOS</t>
  </si>
  <si>
    <t>CO1.PCCNTR.7371394</t>
  </si>
  <si>
    <t>Prestar el servicio de mantenimiento menor para los vehículos
oficiales de propiedad de la UPME.</t>
  </si>
  <si>
    <t>V-CARS S.A.S.</t>
  </si>
  <si>
    <t>A-02-02-02-008-007</t>
  </si>
  <si>
    <t>2025114140100223E</t>
  </si>
  <si>
    <t>CO1.PCCNTR.7365324</t>
  </si>
  <si>
    <t>Prestar servicios profesionales para la evaluación y análisis de la información de los
proyectos de Fuentes No Convencionales de Energía y Gestión Eficiente de la
Energía.</t>
  </si>
  <si>
    <t>CARLOS ALBERTO MOLINA BERMUDEZ</t>
  </si>
  <si>
    <t>CO1.PCCNTR.7366311</t>
  </si>
  <si>
    <t>NICOLAS AUGUSTO MARIN PINZON</t>
  </si>
  <si>
    <t>2025114140100186E</t>
  </si>
  <si>
    <t>CO1.PCCNTR.7367128</t>
  </si>
  <si>
    <t>Prestar los servicios profesionales para apoyar el seguimiento el seguimiento
a la ejecución de los proyectos de nivel de tensión IV que corresponde a la
UPME y las solicitudes de conexión según la resolución CREG 075 de 2021, así
como los procedimientos asociados al grupo interno de trabajo de transmisión.</t>
  </si>
  <si>
    <t>FELIPE RODRIGUEZ TUTA</t>
  </si>
  <si>
    <t>LUZ ADRIANA DUQUECALLE</t>
  </si>
  <si>
    <t>2025114140100187E</t>
  </si>
  <si>
    <t>CO1.PCCNTR.7367645</t>
  </si>
  <si>
    <t>Prestar servicios profesionales para la evaluación, análisis, creación y actualización
de estadísticas e indicadores de los proyectos de Fuentes No Convencionales de
Energía, Gestión Eficiente de la Energía e Hidrógeno presentados a la UPME.</t>
  </si>
  <si>
    <t>ISABEL SIERRA URIBE</t>
  </si>
  <si>
    <t>JAIME FERNANDO ANDRADE MAHECHA</t>
  </si>
  <si>
    <t>2025114140100184E</t>
  </si>
  <si>
    <t>CO1.PCCNTR. 7397082</t>
  </si>
  <si>
    <t>Prestar servicios profesionales para la evaluación, análisis y actualización de
la información de los proyectos de Fuentes No Convencionales de Energía,
Gestión Eficiente de la Energía e Hidrógeno presentados a la UPME.</t>
  </si>
  <si>
    <t>JUAN DAVID GONZALEZ ARENAS</t>
  </si>
  <si>
    <t>2025114140100198E</t>
  </si>
  <si>
    <t>CO1.PCCNTR.7368867</t>
  </si>
  <si>
    <t>JAVIER EDUARDO CHACON SUAREZ</t>
  </si>
  <si>
    <t>2025114140000199E</t>
  </si>
  <si>
    <t>CO1.PCCNTR.7377761</t>
  </si>
  <si>
    <t>Prestar servicios profesionales para la realización de respuestas a peticiones,
quejas, reclamos, informes y documentos concernientes al fenómeno climático
“El Niño”, con el ánimo de posibilitar la articulación intra e intersectorial para la
planeación del sector eléctrico.</t>
  </si>
  <si>
    <t>LEIDY BRIGITH VERA RUNCERIA</t>
  </si>
  <si>
    <t>2025114140000200E</t>
  </si>
  <si>
    <t>CO1.PCCNTR.7374441</t>
  </si>
  <si>
    <t>Prestar servicios profesionales para el seguimiento a la implementación de los
proyectos de generación con conexión aprobada por la Unidad de Planeación
Minero Energética, en aras de identificar y gestionar soluciones a desafíos
ambientales, sociales, territoriales, entre otras, a través de la articulación con
los actores estratégicos a nivel local, regional y nacional.</t>
  </si>
  <si>
    <t>DANIELA URIBE VELEZ</t>
  </si>
  <si>
    <t>2025114140000201E</t>
  </si>
  <si>
    <t>CO1.PCCNTR.7375238</t>
  </si>
  <si>
    <t>Prestar los servicios profesionales para la integración de variables sociales y
étnicas en los documentos de la UPME, consolidando lineamientos integrales
en su planificación y promoviendo la articulación interinstitucional con
entidades territoriales.</t>
  </si>
  <si>
    <t>ANDRES FELIPE DUARTE RODRIGUEZ</t>
  </si>
  <si>
    <t>2025114140000202E</t>
  </si>
  <si>
    <t>CO1.PCCNTR.7377021</t>
  </si>
  <si>
    <t>Adelantar el relacionamiento y articulación interinstitucional en fase de
planeación y ejecución de los proyectos que se desarrollan mediante procesos
de libre concurrencia, así como identificar las restricciones que se presenten
en el seguimiento de los proyectos de transmisión nacional y regional.</t>
  </si>
  <si>
    <t>ALEJANDRA GONZALEZ GUÑARITA</t>
  </si>
  <si>
    <t>SERGIO ANDRES PASTRANA PASTRNA</t>
  </si>
  <si>
    <t>2025114140100183E</t>
  </si>
  <si>
    <t>CO1.PCCNTR.7399826</t>
  </si>
  <si>
    <t>Prestar los servicios profesionales para la estructuración, seguimiento
y control de convocatorias del subsector de hidrocarburos a cargo de
la Subdirección de Hidrocarburos</t>
  </si>
  <si>
    <t>LAURA MILENA SIERRA RAMÍREZ</t>
  </si>
  <si>
    <t>SANTIAGO HUTADO RODRÍGUEZ</t>
  </si>
  <si>
    <t>2025114140000203E</t>
  </si>
  <si>
    <t>CO1.PCCNTR.7393666</t>
  </si>
  <si>
    <t>Prestar servicios de apoyo a la gestión para la atención de los requerimientos
e incidencias relacionadas con la operación de las plataformas tecnológicas
de cara a los ciudadanos y a los usuarios internos de la entidad.</t>
  </si>
  <si>
    <t>SEBASTIANJOSE MARTINEZ PETRO</t>
  </si>
  <si>
    <t>2025114140000204E</t>
  </si>
  <si>
    <t>CO1.PCCNTR.7411663</t>
  </si>
  <si>
    <t>Apoyar los análisis de las solicitudes de asignación de capacidad de transporte
de proyectos de generación y usuarios finales según la Resolución CREG 075
de 2021 y apoyar el desarrollo, formulación de los criterios y aplicación de la
metodología de evaluación.</t>
  </si>
  <si>
    <t>CRISTHIAN CAMILO GONZALEZ GARZON</t>
  </si>
  <si>
    <t>EDGAR RUBEN MUELA VELASCO</t>
  </si>
  <si>
    <t>2025114140100234E</t>
  </si>
  <si>
    <t>CO1.PCCNTR.7396905</t>
  </si>
  <si>
    <t>Prestar los servicios profesionales para realizar acciones que faciliten la
implementación y mantenimiento del Programa de Transparencia y Ética
Pública (PTEP), así como la gestión necesaria para fortalecer en la UPME la
Política de Rendición de Cuentas, la Política de Participación Ciudadana en la
Gestión y la Política de Servicio al Ciudadano.</t>
  </si>
  <si>
    <t>JESSICA LORENA MURCIA VANEGAS</t>
  </si>
  <si>
    <t>C-2199-1900-4-53105B-2199060-02</t>
  </si>
  <si>
    <t>2025114140100205E</t>
  </si>
  <si>
    <t>CO1.PCCNTR.7402312</t>
  </si>
  <si>
    <t>Prestar servicios profesionales para el registro de datos, apoyo a la
elaboración de reportes en herramientas y sistemas de información requeridos
por la Oficina Asesora de Planeación de la UPME.</t>
  </si>
  <si>
    <t>MARIA JOSE PATIÑO GUTIERREZ</t>
  </si>
  <si>
    <t>LUZ ADRIANA VELA AVENDAÑO</t>
  </si>
  <si>
    <t>CO1.PCCNTR.7401156</t>
  </si>
  <si>
    <t>Prestación de servicios profesionales orientados a definir, desarrollar
e implementar productos de interés sectorial a partir de la utilización de
analítica de datos e inteligencia artificial.</t>
  </si>
  <si>
    <t>JESUS EDUARDO SANCHEZ DAZA</t>
  </si>
  <si>
    <t>C-2106-1900-14-53105B-2106033-02</t>
  </si>
  <si>
    <t>2025114140100207E</t>
  </si>
  <si>
    <t>CO1.PCCNTR.7401119</t>
  </si>
  <si>
    <t>Prestación de servicios profesionales orientados a definir, desarrollar
e implementar productos de interés sectorial a partir de la utilización de
analítica de datos, con especial énfasis en las variables del sector
hidrocarburos, así como contribuir en el fortalecimiento de los sistemas de
información de este sector y los relacionados con información geográfica.</t>
  </si>
  <si>
    <t>LUIS ALEJANDRO RODRIGUEZ PARRA</t>
  </si>
  <si>
    <t>CO1.PCCNTR.7401123</t>
  </si>
  <si>
    <t>Prestación servicios de apoyo a la gestión para la documentación y
actualización de los lineamientos de gobierno de datos y la metodología de
gestión de la información, con un énfasis en el rol de administrador de datos.</t>
  </si>
  <si>
    <t>ARMANDO JOSE BOSSIO RAMOS</t>
  </si>
  <si>
    <t>CARLOS VALLES FRANCO</t>
  </si>
  <si>
    <t>CO1.PCCNTR.7411636</t>
  </si>
  <si>
    <t>Prestar servicios profesionales para realizar soporte y adecuación del BIZAGI,
apoyando los procesos de transmisión en la mesa de ayuda.</t>
  </si>
  <si>
    <t>WILMER GUZMAN ESTUPIÑAN</t>
  </si>
  <si>
    <t>CO1.PCCNTR.7405504</t>
  </si>
  <si>
    <t>Procesar información relacionada con la estructuración de las convocatorias
públicas de las obras de transmisión nacional y regional y proyectos de nuevas
tecnologías en cuanto a condiciones técnicas, físicas, regulatorias y
normativas y realizar el seguimiento a los proyectos que le sean asignados.</t>
  </si>
  <si>
    <t>ESTEFANY OSORIO ARROYAVE</t>
  </si>
  <si>
    <t>DIANA SERRANO SANCHEZ</t>
  </si>
  <si>
    <t>CO1.PCCNTR.7419968</t>
  </si>
  <si>
    <t>Apoyar el análisis y revisión de información socioambiental de los proyectos
de transmisión nacional y regional en ejecución, así como los análisis de
posibilidades y condicionantes en etapas de planeación, estructuración y
ejecución.</t>
  </si>
  <si>
    <t>YENIFER KARINA ANGEL LOPEZ</t>
  </si>
  <si>
    <t>CO1.PCCNTR.7412208</t>
  </si>
  <si>
    <t>Realizar el soporte, adecuación, mantenimiento y desarrollo de las
automatizaciones de procesos en BIZAGI y de los sistemas que soportan la
operación de la Subdirección de Energía Eléctrica.</t>
  </si>
  <si>
    <t>ANGIE TATIANA CASTAÑEDA SANCHEZ</t>
  </si>
  <si>
    <t>CO1.PCCNTR.7412289</t>
  </si>
  <si>
    <t>Prestar servicios profesionales para apoyar la construcción del Balance
Energético Colombiano, BECO y la evaluación de emisiones de Gases de
Efecto Invernadero, GEI.</t>
  </si>
  <si>
    <t>MARYENI KARINA ENRIQUEZ ENRIQUEZ</t>
  </si>
  <si>
    <t>CO1.PCCNTR.7403833</t>
  </si>
  <si>
    <t>Apoyar la estructuración de bases de datos de los procesos de cobertura, el
control de calidad de la información, los análisis de ampliación de la cobertura,
el mejoramiento de los geoprocesos y las solicitudes de los operadores de red.</t>
  </si>
  <si>
    <t>JOSE ANTONIO BARAJAS VILLARREAL</t>
  </si>
  <si>
    <t>CO1.PCCNTR.7403891</t>
  </si>
  <si>
    <t>Apoyar la elaboración de documentos y el procesamiento de la información,
de las convocatorias públicas y de ampliación de los proyectos de transmisión
nacional y regional.</t>
  </si>
  <si>
    <t>LAURA VICTORIA CIFUENTES GRUESO</t>
  </si>
  <si>
    <t>CO1.PCCNTR. 7408024</t>
  </si>
  <si>
    <t>Prestar servicios profesionales para el apoyo en la identificación, análisis de
aspectos tecnológicos, económicos, sociales, regulatorios y ambientales para
la conceptualización de los documentos estratégicos que conforman el Plan
Energético Nacional.</t>
  </si>
  <si>
    <t>PAULA NATALIA RIVEROS MELO</t>
  </si>
  <si>
    <t>CO1.PCCNTR.7419999</t>
  </si>
  <si>
    <t>Prestación de servicios profesionales para el procesamiento de los datos
derivados de los procesos internos en la subdirección de energía eléctrica, así
como el mantenimiento y gestión de las herramientas para las estadísticas e
indicadores de seguimiento.</t>
  </si>
  <si>
    <t>DAVID ANDRES MONROY CAMARGO</t>
  </si>
  <si>
    <t>CO1.PCCNTR.7421118</t>
  </si>
  <si>
    <t>Prestar los servicios profesionales para apoyar el análisis y procesamiento de
solicitudes de los agentes interesados en conectarse a la red nacional, regional
y de distribución, conforme a las disposiciones de la Resolución CREG 075 y a
los procedimientos asociados al grupo interno de trabajo de transmisión.</t>
  </si>
  <si>
    <t>JUAN FELIPE ALVARADO RODRIGUEZ</t>
  </si>
  <si>
    <t>SERGIO ANDRES CUBILLOS CABRERA</t>
  </si>
  <si>
    <t>CO1.PCCNTR.7420515</t>
  </si>
  <si>
    <t>Apoyar en el seguimiento a la ejecución de los proyectos llevados a cabo
mediante convocatoria pública y ampliaciones que le sean asignados, apoyar
la estructuración y elaboración de los documentos de selección del
inversionista de los proyectos definidos en el marco del plan de expansión,
apoyar en el relacionamiento interinstitucional y apoyo en la gestión
documental.</t>
  </si>
  <si>
    <t>MARCELLA MARIA VELASCO MARIÑO</t>
  </si>
  <si>
    <t>CO1.PCCNTR.7421801</t>
  </si>
  <si>
    <t>Prestar servicios para el apoyo en la elaboración de documentos y en el
procesamiento de la información, de las convocatorias públicas y de
ampliación de los proyectos de transmisión nacional y regional, y demás
proyectos en ejecución asignados.</t>
  </si>
  <si>
    <t>DAVID ANDRES SANCHEZ TORRES</t>
  </si>
  <si>
    <t>KAROL ENRIQUE CIFUENTES THORRENS</t>
  </si>
  <si>
    <t>CO1.PCCNTR.7411325</t>
  </si>
  <si>
    <t>Procesar y gestionar el sistema de información geográfico de la infraestructura
de transmisión nacional y regional y los proyectos en ejecución y apoyar la
gestión cartográfica de los análisis de posibilidades y condicionantes y
actualización de la base de datos de sistema socioambiental de la UPME.</t>
  </si>
  <si>
    <t>CRISTIAN CAMILO FONSECA BAQUERO</t>
  </si>
  <si>
    <t>CO1.PCCNTR.7411853</t>
  </si>
  <si>
    <t>Apoyar en el seguimiento a la ejecución de los proyectos de transmisión
nacional y regional ejecutados mediante convocatoria pública y ampliaciones,
apoyar el seguimiento a las condiciones de los documentos de selección y
procesar la información de seguimiento de los proyectos que le sean
asignados.</t>
  </si>
  <si>
    <t>FRANCISCO TORO ZEA</t>
  </si>
  <si>
    <t>CO1.PCCNTR.7411105</t>
  </si>
  <si>
    <t>Prestar servicios profesionales para apoyar a la UPME en la identificación,
evaluación y mitigación de impactos ambientales derivados de sus actividades
rutinarias, garantizando el cumplimiento de la normativa ambiental, la gestión
adecuada de residuos, y el control del uso racional de agua y energía, con el
fin de optimizar las prácticas sostenibles dentro de la entidad.</t>
  </si>
  <si>
    <t>DANIEL RICARDO GÓMEZ BUITRAGO</t>
  </si>
  <si>
    <t>CO1.PCCNTR.7410256</t>
  </si>
  <si>
    <t>Prestar servicios profesionales de asesoría especializada jurídica y judicial en
asuntos de competencia de la Unidad de Planeación Minero Energética y
demás actuaciones jurídicas tendientes al desarrollo del proyecto de inversión
“Fortalecimiento de la planeación para el desarrollo minero responsable con
los territorios en el marco de la transición energética a nivel nacional”.</t>
  </si>
  <si>
    <t>CAMILO ANDRÉS TOVAR PERILLA</t>
  </si>
  <si>
    <t>CO1.PCCNTR.7421816</t>
  </si>
  <si>
    <t>Prestar servicios de apoyo a la gestión para el proceso de diagramación de
documentos y datos, y el diseño de piezas para canales digitales de la UPME
y necesidades generales de comunicación institucional.</t>
  </si>
  <si>
    <t>LEIDY JOHANA GALINDO QUINTERO</t>
  </si>
  <si>
    <t>CO1.PCCNTR.7416085</t>
  </si>
  <si>
    <t>Prestación servicios de apoyo a la gestión para la documentación y
actualización de los lineamientos de gobierno de datos y la metodología de
gestión de la información, con un énfasis en el rol de arquitecto de datos, así
como en la implementación de la infraestructura de datos y estrategia de datos
abiertos en la UPME.</t>
  </si>
  <si>
    <t>FABIAN GARZON GARCIA</t>
  </si>
  <si>
    <t>JORGE FERNANDO FORERO CASTAÑEDA</t>
  </si>
  <si>
    <t>CO1.PCCNTR.7415776</t>
  </si>
  <si>
    <t>Prestación de servicios profesionales para adelantar labores de
analítica de datos orientadas a la consolidación de modelos y
algoritmos mineroenergéticos, así como para diseñar e implementar
arquitecturas de datos robustas, escalables y seguras que procuren la
integración de las diferentes fuentes de información de la entidad</t>
  </si>
  <si>
    <t>JUAN ANTONIO DOMINGUEZ JIMENEZ</t>
  </si>
  <si>
    <t>CO1.PCCNTR.7428845</t>
  </si>
  <si>
    <t>Prestar servicios profesionales para asesorar a la Subdirección de Demanda
en la gestión jurídica relacionada con la reglamentación normativa de
beneficios tributarios y las respuestas a recursos administrativos de decisiones
sobre evaluaciones; de proyectos de Fuentes No Convencionales de Energía,
Gestión Eficiente de la Energía e Hidrógeno.</t>
  </si>
  <si>
    <t>JANNLUCK CANOSA CANTOR</t>
  </si>
  <si>
    <t>CO1.PCCNTR.7423828</t>
  </si>
  <si>
    <t>Prestar servicios profesionales para apoyar la implementación de la estrategia
de cooperación internacional y las acciones institucionales, para el
fortalecimiento de la Unidad</t>
  </si>
  <si>
    <t>NASLY MABEL LÓPEZ CONTRERAS</t>
  </si>
  <si>
    <t>2025114140100214E</t>
  </si>
  <si>
    <t>CO1.PCCNTR.7425199</t>
  </si>
  <si>
    <t>DANIEL DE JESÚS RESTREPO SOTO</t>
  </si>
  <si>
    <t>2025114140100206E</t>
  </si>
  <si>
    <t>CO1.PCCNTR.7459870</t>
  </si>
  <si>
    <t>Prestar servicios profesionales para el análisis de información y documentos
de los procesos asociados al análisis de proyectos de Fuentes No
Convencionales de Energía y Gestión Eficiente de la Energía, y los asociados
a la planeación energética de largo plazo.</t>
  </si>
  <si>
    <t>CINDY JULIETH MONTAÑEZ GUILLEN</t>
  </si>
  <si>
    <t>2025114140100208E</t>
  </si>
  <si>
    <t>CO1.PCCNTR.7425052</t>
  </si>
  <si>
    <t>Prestar servicios profesionales a la Subdirección de Energía Eléctrica en el
proceso, verificación y cumplimiento de requisitos legales y asuntos jurídicos
misionales.</t>
  </si>
  <si>
    <t>NICOLE NATALIA ARIAS PARADA</t>
  </si>
  <si>
    <t>2025114140100216E</t>
  </si>
  <si>
    <t>CO1.PCCNTR. 7423185</t>
  </si>
  <si>
    <t>Prestar servicios profesionales para la evaluación, análisis, construcción de
conceptos técnicos y actualizaciones tecnológicas para el trámite de incentivos
tributarios de los proyectos de Fuentes No Convencionales de Energía, Gestión
Eficiente de la Energía e Hidrógeno presentados a la UPME.</t>
  </si>
  <si>
    <t>MARIA XIMENA CACERES PRADO</t>
  </si>
  <si>
    <t>2025114140100213E</t>
  </si>
  <si>
    <t>CO1.PCCNTR.7431674</t>
  </si>
  <si>
    <t>Prestar los servicios profesionales para el desarrollo, implementación y
validación de gemelos digitales de los planes de abastecimiento y confiabilidad
de la Subdirección de Hidrocarburos.</t>
  </si>
  <si>
    <t>CARLOS SALOMÓN SAENZ DÍAZ</t>
  </si>
  <si>
    <t>2025114140100212E</t>
  </si>
  <si>
    <t>CO1.PCCNTR.7448707</t>
  </si>
  <si>
    <t>Prestar servicios profesionales de apoyo jurídico, elaboración de actos
administrativos y acompañamiento jurídico en los distintos procesos de
convocatorias que adelanta la subdirección de hidrocarburos.</t>
  </si>
  <si>
    <t>DIANA ARIAS BUITRAGO</t>
  </si>
  <si>
    <t>2025114140100209E</t>
  </si>
  <si>
    <t>CO1.PCCNTR.7448734</t>
  </si>
  <si>
    <t>Prestar servicios profesionales para la coordinación del componente social,
promoviendo el desarrollo de análisis multivariables y la articulación
interinstitucional e intersectorial.</t>
  </si>
  <si>
    <t>MONICA CRISTINA CASTAÑEDA LASSO</t>
  </si>
  <si>
    <t>2025114140100210E</t>
  </si>
  <si>
    <t>CONTRATO PRESTACION DE SERVICIOS</t>
  </si>
  <si>
    <t>CO1.PCCNTR.7426359</t>
  </si>
  <si>
    <t>Adquirir paquete de bolsa de horas para soporte técnico
especializado de consultoría – Kactus HCM.</t>
  </si>
  <si>
    <t>DIGITAL WARE</t>
  </si>
  <si>
    <t>2025114140100211E</t>
  </si>
  <si>
    <t>CO1.PCCNTR.7463637</t>
  </si>
  <si>
    <t>Prestar servicios de apoyo a la gestión para la UPME en la creación de
productos audiovisuales para los diferentes canales de la entidad y
necesidades del Plan Estratégico de Comunicaciones.</t>
  </si>
  <si>
    <t>DAVID FERNANDO GUEVARA MONTAÑA</t>
  </si>
  <si>
    <t>2025114140100233E</t>
  </si>
  <si>
    <t>CO1.PCCNTR.7451843</t>
  </si>
  <si>
    <t xml:space="preserve">	EMMANUEL JOSE MANZANO VERJEL</t>
  </si>
  <si>
    <t>2025114140000217E</t>
  </si>
  <si>
    <t>CO1.PCCNTR.7448769</t>
  </si>
  <si>
    <t>Prestar servicios profesionales para coordinar las acciones del área de Gestión
del Conocimiento en el proyecto Enfoque Territorial, facilitando el seguimiento
al plan estratégico institucional y la implementación de metodologías y
lineamientos necesarios para el desarrollo efectivo de las actividades del
proyecto.</t>
  </si>
  <si>
    <t>CLAUDIA PATRICIA CHAVEZ VIVAS</t>
  </si>
  <si>
    <t>2025114140000218E</t>
  </si>
  <si>
    <t>CO1.PCCNTR.7463335</t>
  </si>
  <si>
    <t>Prestar servicios profesionales para formular e implementar una estrategia de
gestión social en proyectos de energía renovable, asegurando la inclusión de
las comunidades locales y la articulación con actores territoriales para el
fortalecimiento de la infraestructura energética.</t>
  </si>
  <si>
    <t>JUAN DAVID PALACIOS SUAREZ</t>
  </si>
  <si>
    <t>2025114140000219E</t>
  </si>
  <si>
    <t>CO1.PCCNTR.7449114</t>
  </si>
  <si>
    <t>Prestar los servicios profesionales en asuntos de índole jurídico, para el
acompañamiento del proceso, verificación y cumplimiento de requisitos
legales y asuntos misionales, contribuyendo al desempeño institucional con
enfoque territorial.</t>
  </si>
  <si>
    <t>LUISA FERNANDA VARGAS</t>
  </si>
  <si>
    <t>2025114140000220E</t>
  </si>
  <si>
    <t>CO1.PCCNTR.7462945</t>
  </si>
  <si>
    <t>Prestar servicios profesionales para el seguimiento y reporte de los planes e
indicadores de gestión del Modelo Integrado de Planeación y Gestión en el
marco del Sistema de Gestión Institucional.</t>
  </si>
  <si>
    <t>CAMILA ANDREA OTERO LLANOS</t>
  </si>
  <si>
    <t>2025114140100215E</t>
  </si>
  <si>
    <t>CO1.PCCNTR.7477901</t>
  </si>
  <si>
    <t>Prestar servicios profesionales para efectuar actividades sobre prospectiva de
materias primas y bioenergéticos en el marco del Plan Indicativo de Bioenergía
Pacífico con el enfoque territorial.</t>
  </si>
  <si>
    <t>CLAUDIA LORENA GOMEZ HERRERA</t>
  </si>
  <si>
    <t>2025114140000221E</t>
  </si>
  <si>
    <t>CO1.PCCNTR.7474011</t>
  </si>
  <si>
    <t>Prestación de servicios profesionales para la definición y
desarrollo de los lineamientos sectoriales e institucionales en materia
estadística orientados a la consolidación de planes y estrategias para
el fortalecimiento y certificación de la información estadística.</t>
  </si>
  <si>
    <t>SOFIA SANCHEZ GRANADOS</t>
  </si>
  <si>
    <t>2025114140000222E</t>
  </si>
  <si>
    <t>CO1.PCCNTR.7478877</t>
  </si>
  <si>
    <t>JENNY LORENA IBARGUEN VALVERDE</t>
  </si>
  <si>
    <t>2025114140000224E</t>
  </si>
  <si>
    <t>CO1.PCCNTR.7479804</t>
  </si>
  <si>
    <t>Prestar servicios profesionales para realizar la gestión y análisis de
información, construcción de bases de datos, formulación y seguimiento a las
estadísticas e indicadores de impacto de los incentivos tributarios, con enfoque
territorial.</t>
  </si>
  <si>
    <t>CRISTIAN ALEJANDRO BLANCO MARTINEZ</t>
  </si>
  <si>
    <t>2025114140000225E</t>
  </si>
  <si>
    <t>CO1.PCCNTR.7478008</t>
  </si>
  <si>
    <t>Prestar servicios profesionales para el apoyo a la Subdirección de demanda
en la construcción de documentos de planeación relacionados con la
integración del hidrógeno y la bioenergía, así como en la evaluación y análisis
de la información de los proyectos asociados a los incentivos tributarios de la
UPME.</t>
  </si>
  <si>
    <t>ANDREA LACHE MUÑOZ</t>
  </si>
  <si>
    <t>2025114140000226E</t>
  </si>
  <si>
    <t>CO1.PCCNTR.7484772</t>
  </si>
  <si>
    <t>Prestar servicios profesionales para la gestión de información
georreferenciada socioambiental, diferencial e interseccional para el análisis
de la planeación del sector minero energético, en el marco del proyecto
Enfoque Territorial de la UPME.</t>
  </si>
  <si>
    <t>MARIA FERNANDA BECERRA CANO</t>
  </si>
  <si>
    <t>2025114140000227E</t>
  </si>
  <si>
    <t>CO1.PCCNTR.7486804</t>
  </si>
  <si>
    <t>Prestar servicios profesionales para el desarrollo de escenarios
socioambientales con enfoque interseccional en la planeación minero
energética y visualización de análisis con enfoque territorial, en el marco del
proyecto Enfoque Territorial de la UPME.</t>
  </si>
  <si>
    <t>MANUEL SANTIAGO SIERRA OCHOA</t>
  </si>
  <si>
    <t>2025114140000228E</t>
  </si>
  <si>
    <t>CO1.PCCNTR.7482219</t>
  </si>
  <si>
    <t>Prestar servicios profesionales para la evaluación, análisis y actualización de la
información de los proyectos de Fuentes No Convencionales de Energía, Gestión
Eficiente de la Energía e Hidrógeno presentados a la UPME.</t>
  </si>
  <si>
    <t>CAROLINA GIRALDO BELLO</t>
  </si>
  <si>
    <t>2025114140000230E</t>
  </si>
  <si>
    <t>CO1.PCCNTR.7518134</t>
  </si>
  <si>
    <t>Prestar servicios profesionales para el análisis y caracterización de los
impactos ambientales asociados a las actividades misionales de la UPME,
incluyendo el relacionamiento con actores regionales para la formulación de
la estrategia de gestión en operación del proyecto de 6GW de energía
renovable, contribuyendo a la toma de decisiones y a la implementación de
medidas estratégicas para un desarrollo sostenible.</t>
  </si>
  <si>
    <t>SONIA PATRICIA ANGEL HUERTAS</t>
  </si>
  <si>
    <t>2025114140000232E</t>
  </si>
  <si>
    <t>CO1.PCCNTR.7527446</t>
  </si>
  <si>
    <t>Prestar servicios profesionales para identificar y analizar la incidencia de
variables territoriales e interseccionales en los procesos de planificación,
desarrollo y gestión de infraestructura energética, generando lineamientos y
acciones para la gestión interinstitucional, con el fin de fortalecer la transición
energética justa y sostenible en el territorio nacional.</t>
  </si>
  <si>
    <t>OLGA LUCIA CARRANZA MOLINA</t>
  </si>
  <si>
    <t>2025114140000235E</t>
  </si>
  <si>
    <t>CO1.PCCNTR.7528137</t>
  </si>
  <si>
    <t>Prestar servicios profesionales para el desarrollo de escenarios de análisis
energéticos para la planeación minero energética, con énfasis en una óptica
regional, liderando la implementación de lineamientos articulados de gestión
institucional en materia ambiental.</t>
  </si>
  <si>
    <t>JHON EDISON ENRIQUEZ OCHOA</t>
  </si>
  <si>
    <t>2025114140000236E</t>
  </si>
  <si>
    <t>CO1.PCCNTR.7504677</t>
  </si>
  <si>
    <t>Prestar los servicios profesionales para apoyar la apropiación del proceso de
selección y vinculación de los servidores públicos de la UPME, así como la
dimensión del Talento Humano en el componente de Gestión del
Conocimiento.</t>
  </si>
  <si>
    <t>BIBIANA CALDERON SIERRA</t>
  </si>
  <si>
    <t>2025114140000237E</t>
  </si>
  <si>
    <t>CO1.PCCNTR.7526919</t>
  </si>
  <si>
    <t>Prestar servicios profesionales para la administración de bases de datos de la subdirección de minería, implementación de mejoras al SIMCO y desarrollo de modelos con sistemas de información geográfica para el procesamiento y divulgación de la información minera</t>
  </si>
  <si>
    <t>LUIS GIOVANNY PEÑA SOLANO</t>
  </si>
  <si>
    <t>C-2106-1900-12-40302A-2106019-02</t>
  </si>
  <si>
    <t>2025114140000238E</t>
  </si>
  <si>
    <t>CO1.PCCNTR.7554825</t>
  </si>
  <si>
    <t>Prestar servicios profesionales para brindar apoyo a la subdirección de minería en los análisis cuantitativos necesarios para el modelamiento mediante herramientas de simulación y modelación con dinámica de sistemas implementado mejoramiento a los modelos de la subdirección</t>
  </si>
  <si>
    <t>HAROLD ANDREY AVILA CHOCONTA</t>
  </si>
  <si>
    <t>FRANCY HERRERA OSPINA</t>
  </si>
  <si>
    <t>2025114140000239E</t>
  </si>
  <si>
    <t>CO1.PCCNTR.7528061</t>
  </si>
  <si>
    <t>Prestar servicios profesionales para brindar apoyo a la subdirección de minería
en los análisis técnicos relacionados con los encadenamientos productivos
asociados a los planes subsectoriales, seguimiento al PNDM y al componente
de innovación en el sector minero en el marco de la transición energética</t>
  </si>
  <si>
    <t>CAMILO ENRIQUE ACHURY RODRÍGUEZ</t>
  </si>
  <si>
    <t>2025114140100248E</t>
  </si>
  <si>
    <t>CO1.PCCNTR.7539470</t>
  </si>
  <si>
    <t>Prestar servicios profesionales para apoyar el modelamiento y la simulación de escenarios requeridos, para la elaboración del Plan Indicativo de Expansión de la Generación, así como apoyar el seguimiento de proyectos y la elaboración de documentos en el marco de las actividades del grupo de generación de la Subdirección de Energía Eléctrica.</t>
  </si>
  <si>
    <t>LUIS MIGUEL CHAVARRO BARRERA</t>
  </si>
  <si>
    <t>CO1.PCCNTR.7539548</t>
  </si>
  <si>
    <t>Prestar servicios profesionales para realizar la compilación, verificación, análisis y gestión de la información relacionada con el comportamiento de la demanda de energía, la evolución tecnológica, la transición energética y los procesos asociados con la cobertura del servicio de energía eléctrica, el índice de cobertura ICEE y el análisis de proyectos de Fuentes No Convencionales de Energía y Gestión Eficiente de la Energía.</t>
  </si>
  <si>
    <t>JAVIER HERNANDO PAVA SALAMANCA</t>
  </si>
  <si>
    <t>2025114140000240E</t>
  </si>
  <si>
    <t>CO1.PCCNTR.7549475</t>
  </si>
  <si>
    <t>Prestación de servicios profesionales para diseñar, crear, desarrollar, actualizar y mantener las diferentes versiones del Sistema de Información Minero Colombiano - SIMCO, garantizando la satisfacción de estándares de accesibilidad de la información dirigida a los usuarios internos y externos de la entidad, permitiendo la visibilidad de los documentos de planeación generados por la Subdirección de Minería</t>
  </si>
  <si>
    <t>JOSE DANIEL PEÑA MENESES</t>
  </si>
  <si>
    <t>2025114140100245E</t>
  </si>
  <si>
    <t>CO1.PCCNTR.7544936</t>
  </si>
  <si>
    <t>Prestar servicios de apoyo en la creación y diseño de productos gráficos innovadores para contenido digital e impreso, con el fin de contribuir a la gestión de comunicación interna y externa de la UPME.</t>
  </si>
  <si>
    <t>JUAN ANGEL AVILA SANTAMARIA</t>
  </si>
  <si>
    <t>CONVENIO</t>
  </si>
  <si>
    <t>2025114140100246E</t>
  </si>
  <si>
    <t>CO1.PCCNTR.7678919</t>
  </si>
  <si>
    <t>Prestar servicios profesionales de asesoría especializada jurídica en temas
asociados a las convocatorias públicas de la subdirección de hidrocarburos.</t>
  </si>
  <si>
    <t>JUAN SEBASTIAN HOYOS</t>
  </si>
  <si>
    <t>DANNY SIERRA</t>
  </si>
  <si>
    <t>2025114140100247E</t>
  </si>
  <si>
    <t>CO1.PCCNTR.7585116</t>
  </si>
  <si>
    <t>Asesoría jurídica, judicial y extrajudicial en temas relacionados con
la misionalidad de la Unidad de Planeación Minero Energética.</t>
  </si>
  <si>
    <t>IVAN DARIO GOMEZ LEE S.A.S</t>
  </si>
  <si>
    <t>2025114140000241E</t>
  </si>
  <si>
    <t>CO1.PCCNTR.7639885</t>
  </si>
  <si>
    <t>Prestar los servicios profesionales en la estructuración, consolidación y
presentación del estudio técnico, proyectos de actos administrativos y los
anexos requeridos por el Departamento Administrativo de la Función Pública
DAFP y prestar el apoyo jurídico requerido, en el marco de la segunda fase del
proceso de modernización de la UPME..</t>
  </si>
  <si>
    <t>ANGELICA DIAZ ORTIZ</t>
  </si>
  <si>
    <t>2025114140000273E</t>
  </si>
  <si>
    <t>CO1.PCCNTR.7585353</t>
  </si>
  <si>
    <t>Prestar servicios profesionales para las actividades de free press de la Unidad
de Planeación Minero Energética- UPME, con énfasis en la estrategia de
articulación intra e intersectorial para la planificación del desarrollo minero-
energético, en el marco del proyecto Enfoque Territorial y la Dirección General.</t>
  </si>
  <si>
    <t>CHRISTIAN LEONARDO DUQUE PARRA</t>
  </si>
  <si>
    <t>2025114140000250E</t>
  </si>
  <si>
    <t>CO1.PCCNTR.7598237</t>
  </si>
  <si>
    <t>Adelantar el análisis y procesamiento de la información técnica relacionada
con el desarrollo y la ejecución de los proyectos de transmisión objeto de
convocatoria pública en la etapa de ejecución.</t>
  </si>
  <si>
    <t>SANDRA MILENA SANCHEZ MENDOZA</t>
  </si>
  <si>
    <t>2025114140100258E</t>
  </si>
  <si>
    <t>CO1.PCCNTR.7639923</t>
  </si>
  <si>
    <t>Prestar los servicios profesionales en la segunda fase del proceso de
modernización de la UPME, con el fin de actualizar el estudio técnico que
contenga una propuesta de estructura, planta de cargos y demás anexos,
conforme a los lineamientos y directrices establecidos por el Departamento
Administrativo de la Función Pública</t>
  </si>
  <si>
    <t>LINA ADELAIDA JIMENEZ AVELLANEDA</t>
  </si>
  <si>
    <t>2025114140100249E</t>
  </si>
  <si>
    <t>CO1.PCCNTR.7611633</t>
  </si>
  <si>
    <t>Prestar los servicios profesionales en la implementación y articulación de
análisis técnico para la inclusión de variables sociales en los documentos de la entidad, apoyar los procesos de audiencias de proyectos y convocatorias realizadas por la UPME en el territorio.</t>
  </si>
  <si>
    <t>MANUEL ALEJANDRO MONTOYA</t>
  </si>
  <si>
    <t>2025114140000251E</t>
  </si>
  <si>
    <t>CO1.PCCNTR.7686677</t>
  </si>
  <si>
    <t>Prestar el servicio de mantenimiento preventivo, correctivo y
de emergencia a los equipos de aire acondicionado que se encuentran ubicados en la
sede administrativa de la UPME.</t>
  </si>
  <si>
    <t xml:space="preserve">AIRCOOL INGENIERÍA 
</t>
  </si>
  <si>
    <t>JENNY PEÑA ROXO</t>
  </si>
  <si>
    <t>SECRETARIA GENERAL- GIT GESTIÓN DE TALENTO HUMANO Y SERVICIO AL CIUDADANO</t>
  </si>
  <si>
    <t>2025114140000260E</t>
  </si>
  <si>
    <t>CO1.PCCNTR.7618200</t>
  </si>
  <si>
    <t>Prestar servicios profesionales para apoyar en la identificación y análisis de
variables ambientales para proyectos minero-energéticos, mediante la
recopilación, organización y documentación de información socioambiental
que contribuya a la planificación sostenible de la UPME y al fortalecimiento de la gestión ambiental en el sector.</t>
  </si>
  <si>
    <t>ERICK ALEXANDER FERNANDEZ CARMONA</t>
  </si>
  <si>
    <t>2025114140000253E</t>
  </si>
  <si>
    <t>CO1.PCCNTR.7619744</t>
  </si>
  <si>
    <t>Prestar servicios profesionales como enlace en la Región Caribe en la
implementación de la estrategia de comunicación de la UPME al Territorio,
orientada a fortalecer la transparencia de los procesos de planeación minero-
energética mediante el desarrollo de espacios y canales adicionales de
divulgación.</t>
  </si>
  <si>
    <t>NORABIS ESTHER TEJEDOR CASSIANI</t>
  </si>
  <si>
    <t>2025114140000254E</t>
  </si>
  <si>
    <t>CO1.PCCNTR.7620010</t>
  </si>
  <si>
    <t>Prestar servicios profesionales para la identificación e integración de
habilitadores socioambientales para el fortalecimiento de la infraestructura
generando estrategias interinstitucionales y jurídicas para la integración del
enfoque territorial e interseccional.</t>
  </si>
  <si>
    <t>Stephanie Zamora</t>
  </si>
  <si>
    <t>2025114140000255E</t>
  </si>
  <si>
    <t>CO1.PCCNTR.7641861</t>
  </si>
  <si>
    <t>Prestar servicios profesionales para realizar la gestión interinstitucional con
grupos de interés de la entidad para la identificación, caracterización e
integración de variables socioambientales a los procesos y productos de la
UPME en la Región Caribe con enfoque de género y étnico.</t>
  </si>
  <si>
    <t>MIRNA CASSERES CASSIANI</t>
  </si>
  <si>
    <t>2025114140000256E</t>
  </si>
  <si>
    <t>CO1.PCCNTR.7684507</t>
  </si>
  <si>
    <t>Contratar los servicios profesionales para el desarrollo de
actividades formativas de carácter misional, previstas en el Plan Institucional de
Capacitación (PIC) de la vigencia 2025, dirigido a las servidoras/es públicos de la
Unidad de Planeación Minero Energética.</t>
  </si>
  <si>
    <t xml:space="preserve">UNIVERSIDAD NACIONAL 
</t>
  </si>
  <si>
    <t>899999063-3</t>
  </si>
  <si>
    <t>2025114140000257E</t>
  </si>
  <si>
    <t>ACEPTACION DE OFERTA</t>
  </si>
  <si>
    <t>AO-2025-01</t>
  </si>
  <si>
    <t>Prestar los servicios de suscripción ONLINE a Fast Markets MB.</t>
  </si>
  <si>
    <t>FAST MARKET</t>
  </si>
  <si>
    <t>00142215-1</t>
  </si>
  <si>
    <t>LUZ MIREYA RIOS</t>
  </si>
  <si>
    <t>2025114140000261E</t>
  </si>
  <si>
    <t>CO1.PCCNTR.7652861</t>
  </si>
  <si>
    <t>Prestar servicios profesionales para desarrollar e implementar una
metodología de relacionamiento socioambiental y planeación minero
energética con el territorio generando indicadores de medición de resultados e impacto a largo plazo, fortaleciendo la gobernanza multinivel.</t>
  </si>
  <si>
    <t>MAYRA ALEJANDRA ALLADO ARGUELLO</t>
  </si>
  <si>
    <t>C-2103-1900-2-40301B-2103025-02    C-2103-1900-2-40301B-2103026-02    C-2106-1900-10-53105E-2106005-02    C-2106-1900-10-53105E-2106022-02</t>
  </si>
  <si>
    <t>FERNANDO CARDEÑO ÑOPEZ</t>
  </si>
  <si>
    <t>2025114140000266E</t>
  </si>
  <si>
    <t>CO1.PCCNTR.7660521</t>
  </si>
  <si>
    <t>Prestar los servicios para la ejecución y promoción de las
iniciativas, actividades y estrategias del Plan de Bienestar social, estímulos e
Incentivos para la vigencia 2025, dirigido a los servidores de la entidad y sus familias.</t>
  </si>
  <si>
    <t xml:space="preserve"> CAJA DE COMPENSACION FAMILIAR COMPENSAR
</t>
  </si>
  <si>
    <t>JAVIER OCTAVIO FIGUEROA MOLANO</t>
  </si>
  <si>
    <t>2025114140000268E</t>
  </si>
  <si>
    <t>CO1.PCCNTR.7683863</t>
  </si>
  <si>
    <t>RENOVAR, INSTALAR, CONFIGURAR Y PONER EN FUNCIONAMIENTO UNA SOLUCIÓN DE SEGURIDAD FIREWALL PERIMETRAL CON CARACTERÍSTICAS DE NEXT GENERATION
FIREWALL (NGFW).</t>
  </si>
  <si>
    <t>NETDATA</t>
  </si>
  <si>
    <t>2025114140000263E</t>
  </si>
  <si>
    <t>CO1.PCCNTR.7687015</t>
  </si>
  <si>
    <t>Prestar servicios profesionales como enlace en la Región del Pacífico en la
implementación de la estrategia de comunicación de la UPME al Territorio,
orientada a fortalecer la transparencia de los procesos de planeación minero-
energética mediante el desarrollo de espacios y canales adicionales de
divulgación.</t>
  </si>
  <si>
    <t>JUAN DAVID ORTEGA OSPINA</t>
  </si>
  <si>
    <t xml:space="preserve">2025114140000265E
</t>
  </si>
  <si>
    <t>CO1.PCCNTR.7703844</t>
  </si>
  <si>
    <t>Prestar servicios profesionales para apoyar las acciones de adopción
de las políticas de planeación institucional y gestión del conocimiento
e innovación en el marco de la implementación del Modelo Integrado
de Planeación y Gestión – MIPG en la Unidad de Planeación Minero
Energética – UPME.</t>
  </si>
  <si>
    <t>Yossie Esteban Torrijos Ospina</t>
  </si>
  <si>
    <t>2025114140000267E</t>
  </si>
  <si>
    <t>CO1.PCCNTR.7688699</t>
  </si>
  <si>
    <t>CONTRATAR EL SERVICIO DE PLATAFORMA CÓMO SERVICIOS PAAS
DE LA HERRAMIENTA BIZAGI, ASÍ COMO LA MIGRACIÓN DE LOS FLUJOS DE PROCESOS DE LA UPME.</t>
  </si>
  <si>
    <t xml:space="preserve">BIZAGI
</t>
  </si>
  <si>
    <t>900912034-9</t>
  </si>
  <si>
    <t>FREDY JURADO RUBIO</t>
  </si>
  <si>
    <t>2025114140000269E</t>
  </si>
  <si>
    <t>CONTRATO INTERADMINISTRATIVO</t>
  </si>
  <si>
    <t>CO1.PCCNTR.7698279</t>
  </si>
  <si>
    <t>Prestar el servicio de publicación en el diario oficial de los actos
administrativos de carácter general emitidos por la UPME.</t>
  </si>
  <si>
    <t>IMPRENTA NACIONAL</t>
  </si>
  <si>
    <t>830001113-1</t>
  </si>
  <si>
    <t>YENNY CAROLINA BARRERA RODRIGUEZ</t>
  </si>
  <si>
    <t>2025114140000271E</t>
  </si>
  <si>
    <t>GGC-0869-2025</t>
  </si>
  <si>
    <t>Apoyar en la emisión de conceptos y pronunciamientos técnicos vinculados a los
proyectos del sector energético competencia de la UPME, con especial atención a los
presentados al SGR y a otros fondos administrados por el MME.</t>
  </si>
  <si>
    <t>MINISTERIO DE MINAS - UPME</t>
  </si>
  <si>
    <t>2025130140000018E</t>
  </si>
  <si>
    <t>CONSULTORIA</t>
  </si>
  <si>
    <t>CO1.PCCNTR.7790819</t>
  </si>
  <si>
    <t>Desarrollar funcionalidades del modelo de optimización y su interfase para
el planeamiento y las proyecciones energéticas nacionales; a partir de buenas prácticas de
modelamiento empleadas a nivel internacional, así como brindar soporte y capacitación a la UPME
en el uso de la interfase y el modelo en general.</t>
  </si>
  <si>
    <t>UNIVERSIDAD DE LOS ANDES</t>
  </si>
  <si>
    <t>860007386-1</t>
  </si>
  <si>
    <t>PAOLA ZAMBRANO GARCIA</t>
  </si>
  <si>
    <t>DIRECION GENERAL</t>
  </si>
  <si>
    <t>2025114140000272E</t>
  </si>
  <si>
    <t>CO1.PCCNTR.7714801</t>
  </si>
  <si>
    <t>CONTRATAR LA SOLUCIÓN DE SECURITY GATEWAY EDGE PARA FORTALECER
LA INFRAESTRUCTURA DE SEGURIDAD DE LA ENTIDAD, CON CAPACIDADES AVANZADAS QUE
INCLUYEN BALANCEO DE SERVICIOS CON DRP, FIREWALL DE APLICACIONES AVANZADO,
PROTECCIÓN ANTIBOT, Y MECANISMOS EFECTIVOS CONTRA DIVERSOS VECTORES DE ATAQUE
COMO INYECCIONES SQL, Cross-Site Scripting (XSS), Cross-Site Request Forgery (CSRF), Botnet y ataques
DDoS.</t>
  </si>
  <si>
    <t xml:space="preserve">NGEEK S.A.S.
</t>
  </si>
  <si>
    <t>900697738-2</t>
  </si>
  <si>
    <t>2025114150000242E</t>
  </si>
  <si>
    <t>CO1.PCCNTR.7720730</t>
  </si>
  <si>
    <t>Prestar servicios profesionales jurídicos para apoyar la integración de
variables socioambientales en los procesos y productos de la UPME,
generación e implementación de estrategias para la entrada en operación de
energía renovable, asegurando el cumplimiento de lineamientos jurídicos,
administrativos y normativos que se requiera en el desarrollo del proyecto
enfoque territorial.</t>
  </si>
  <si>
    <t>JAIME ANDRES OSORIO MARUN</t>
  </si>
  <si>
    <t>2025114140000278E</t>
  </si>
  <si>
    <t>CO1.PCCNTR.7720927</t>
  </si>
  <si>
    <t>Prestar servicios profesionales para analizar la metodología de armonización
de instrumentos de planeación minero-energética con enfoque diferencial y
perspectiva interseccional e instrumentos relacionados avanzando en su
integración e implementación para la conservación de la biodiversidad,
mitigación y adaptación al cambio climático.</t>
  </si>
  <si>
    <t>MARÍA FERNANDA VELANDÍA</t>
  </si>
  <si>
    <t>2025114140000274E</t>
  </si>
  <si>
    <t>CO1.PCCNTR.7752785</t>
  </si>
  <si>
    <t>Prestar servicios profesionales para apoyar la articulación
administrativa y logística para la territorialización del proyecto de
Enfoque Territorial, incluyendo la gestión, regionalización y
seguimiento de las convocatorias necesarias para el desarrollo del
proyecto en todas sus fases, con un enfoque diferenciado para cada
región involucrada.</t>
  </si>
  <si>
    <t>Natali Carmona</t>
  </si>
  <si>
    <t>--</t>
  </si>
  <si>
    <t>2025114140000275E</t>
  </si>
  <si>
    <t>CO1.PCCNTR.7740565</t>
  </si>
  <si>
    <t>Prestar el servicio de mantenimiento preventivo y correctivo en
el sistema de protección de red contra incendios de la UPME.</t>
  </si>
  <si>
    <t>ASHES FIRE COLOMBIA SAS</t>
  </si>
  <si>
    <t>900850098-2</t>
  </si>
  <si>
    <t>RAFAEL GARCIA OBANDO</t>
  </si>
  <si>
    <t>2025114140000276E</t>
  </si>
  <si>
    <t>CO1.PCCNTR.7752573</t>
  </si>
  <si>
    <t>Prestar servicios profesionales para identificar y analizar las variables
ambientales y territoriales relevantes, con el fin de incorporarlas de manera
efectiva en los documentos de planeación minero-energética, asegurando un
enfoque integral y sostenible.</t>
  </si>
  <si>
    <t>Carlos Gómez</t>
  </si>
  <si>
    <t xml:space="preserve">2025114140000281E </t>
  </si>
  <si>
    <t>CO1.PCCNTR.7763621</t>
  </si>
  <si>
    <t>Prestar servicios de consultoría para orientar a la Unidad de
Planeación Minero Energética (UPME) en la implementación, evaluación y mejora del Modelo
de Gestión del Conocimiento e Innovación (Gesco+i), con el objetivo de fortalecer la cultura
organizacional, optimizar la gestión del conocimiento clave, y promover la innovación dentro
de la entidad.</t>
  </si>
  <si>
    <t>UNIVERSIDAD DEL ROSARIO</t>
  </si>
  <si>
    <t>860007759-3</t>
  </si>
  <si>
    <t>DIEGO VANEGAS PAEZ</t>
  </si>
  <si>
    <t>2025114140000277E</t>
  </si>
  <si>
    <t>CO1.PCCNTR.7749312</t>
  </si>
  <si>
    <t>Prestar servicios profesionales como enlace NARP de las regiones para la
formulación y fundamentación técnica de variables étnicas en la UPME, así
como para la coordinación con entidades territoriales e instancias
interinstitucionales, con el fin de promover una planificación minero-energética
más inclusiva y efectiva a nivel nacional.</t>
  </si>
  <si>
    <t>Aiden Salgado</t>
  </si>
  <si>
    <t>2025114140000279E</t>
  </si>
  <si>
    <t>CO1.PCCNTR.7748347</t>
  </si>
  <si>
    <t>MARÍA CRISTINA LÓPEZ BOLÍVAR</t>
  </si>
  <si>
    <t>Juan Carlos Aponte Gutierez</t>
  </si>
  <si>
    <t>2025114140100287E</t>
  </si>
  <si>
    <t>AO-2025-002</t>
  </si>
  <si>
    <t>Realizar la renovación de la suscripción online de ARGUS MEDIA.</t>
  </si>
  <si>
    <t>ARGUS MEDIA</t>
  </si>
  <si>
    <t>LUZ MIREYA GOMEZ RIOS</t>
  </si>
  <si>
    <t>2025114140000281E</t>
  </si>
  <si>
    <t>CONTRATO SUMINISTRO</t>
  </si>
  <si>
    <t>CO1.PCCNTR.7758337</t>
  </si>
  <si>
    <t>Suministrar tarjetas electrónicas canjeables por calzado y
vestido de labor para la dotación de los servidores de la UPME para la vigencia 2025.</t>
  </si>
  <si>
    <t xml:space="preserve">PLUXEE COLOMBIA S.A.S. </t>
  </si>
  <si>
    <t>800219876-9</t>
  </si>
  <si>
    <t>C-2106-1900-12-40302A-2106003-02    C-2106-1900-14-53105B-2106034-02</t>
  </si>
  <si>
    <t xml:space="preserve">2025114140000286E
</t>
  </si>
  <si>
    <t>CO1.PCCNTR.7763859</t>
  </si>
  <si>
    <t>Prestar los servicios profesionales para asesorar jurídicamente a la
Subdirección de Energía Eléctrica en los procesos administrativos relacionados
con los procedimientos, los procesos, los asuntos misionales, la emisión de los
actos administrativos relacionados y lo que de ello se derive.</t>
  </si>
  <si>
    <t>JOVITA SANABRIA</t>
  </si>
  <si>
    <t>2025114140000280E</t>
  </si>
  <si>
    <t>CO1.PCCNTR.7766137</t>
  </si>
  <si>
    <t>Prestar servicios profesionales especializados en la Oficina Asesora Jurídica
con el fin de realizar la verificación y cumplimiento de requisitos legales de las
solicitudes de asignación de capacidad de transporte de los proyectos
presentados ante la UPME y en la ejecución de acciones de carácter jurídico,
en lo relacionado con la implementación de la Resolución CREG 075 de 2021,
modificada por la resolución 101 049 de 2024, la resolución UPME 528 de
2021 y procedimientos aplicados en la expansión de sistemas eléctricos y/o
de pérdida de la capacidad de transporte.+</t>
  </si>
  <si>
    <t>DIANA DIAZ</t>
  </si>
  <si>
    <t>2025114140100283E</t>
  </si>
  <si>
    <t>CO1.PCCNTR.7787530</t>
  </si>
  <si>
    <t>Prestar servicios para la implementación y valoración de la
metodología de resolución de conflictos para la entrada en operación de los proyectos
previstos para el fortalecimiento de la infraestructura de energía eléctrica de transmisión en
la región Pacífico.</t>
  </si>
  <si>
    <t>ASOCIACIÓN JUVENIL UNIDOS POR EL AMOR AL PUEBLO</t>
  </si>
  <si>
    <t>900354660-5</t>
  </si>
  <si>
    <t>OBRA</t>
  </si>
  <si>
    <t>CO1.PCCNTR.7771661</t>
  </si>
  <si>
    <t>Realizar la segunda fase de las adecuaciones a la
infraestructura de la sede administrativa de la UPME.</t>
  </si>
  <si>
    <t>CONSTRUCCIONES RETO S.A.S - OBRA</t>
  </si>
  <si>
    <t>900182448-0</t>
  </si>
  <si>
    <t>A-02-02-02-005-004</t>
  </si>
  <si>
    <t>EDILBERTO PEÑA</t>
  </si>
  <si>
    <t>2025114140000284E</t>
  </si>
  <si>
    <t>CO1.PCCNTR.7782919</t>
  </si>
  <si>
    <t>Prestación de servicios profesionales para la documentación integral y el
apoyo en la implementación y actualización de la política de gobierno de datos
y la metodología de gestión de la información de la UPME y del sector minero
energético</t>
  </si>
  <si>
    <t>EDISON ANDRES TOLEDO NORATO</t>
  </si>
  <si>
    <t>CESAR JEREZ MAYORGA</t>
  </si>
  <si>
    <t xml:space="preserve">2025114140100285E
</t>
  </si>
  <si>
    <t>CO1.PCCNTR.7783747</t>
  </si>
  <si>
    <t>Prestar servicios profesionales para la evaluación, análisis, actualización y el
cumplimiento de la regulación vigente de la información de los proyectos
asociados a los Incentivos Tributarios de la UPME.</t>
  </si>
  <si>
    <t>ADRIAN CAMILO CORTÉS VILLADA</t>
  </si>
  <si>
    <t>2025114140100290E</t>
  </si>
  <si>
    <t xml:space="preserve">CO1.PCCNTR.7779264 </t>
  </si>
  <si>
    <t>Aunar esfuerzos técnicos de LAS PARTES para realizar el intercambio de
información, conocimiento e insumos en el manejo de software, investigaciones y procesos de analítica e
inteligencia artificial, con el fin de hacer más eficiente la ejecución de las funciones asignadas a cada una de las
partes, propendiendo por su mejoramiento y la entrega de nuevas soluciones para la operación confiable, segura
y económica de los recursos del Sistema Interconectado Nacional – SIN -.</t>
  </si>
  <si>
    <t>Convenio Interadministrativo UPME -XM</t>
  </si>
  <si>
    <t>900042857-1</t>
  </si>
  <si>
    <t>N.A</t>
  </si>
  <si>
    <t>JOHANNA CASTELLANOS ARIAS</t>
  </si>
  <si>
    <t>2025114140000296E</t>
  </si>
  <si>
    <t>CO1.PCCNTR.7787162</t>
  </si>
  <si>
    <t>Prestar los servicios profesionales para la gestión jurídica en aspectos
misionales y lo que de ello se derive, contribuyendo al desempeño institucional
con enfoque territorial.</t>
  </si>
  <si>
    <t>KAREN ROSADA SANCHEZ</t>
  </si>
  <si>
    <t>2025114140000297E</t>
  </si>
  <si>
    <t>INTERVENTORIA</t>
  </si>
  <si>
    <t>CO1.PCCNTR.7783088</t>
  </si>
  <si>
    <t>Realizar la interventoría a la segunda fase de las adecuaciones
a la infraestructura de la sede administrativa de la UPME.</t>
  </si>
  <si>
    <t xml:space="preserve"> EDILBERTO
PEÑA ROMERO</t>
  </si>
  <si>
    <t>GRUPO DE GESTION ADMINISTRATIVA</t>
  </si>
  <si>
    <t>2025114140000294E</t>
  </si>
  <si>
    <t>CO1.PCCNTR.7788393</t>
  </si>
  <si>
    <t>Adquirir los servicios de soporte técnico, mantenimiento y
actualización de una (1) licencia de PLEXOS junto al SOLVER, incluyendo actualización en el
manejo y administración de la herramienta.</t>
  </si>
  <si>
    <t>ENERGY EXEMPLAR PLEXOS</t>
  </si>
  <si>
    <t>HENRY ZAPATA LESMES</t>
  </si>
  <si>
    <t>SUBDIRECCION DE ENERGIA ELETRICA</t>
  </si>
  <si>
    <t>2025114140100288E</t>
  </si>
  <si>
    <t>ARRENDAMIENTO</t>
  </si>
  <si>
    <t xml:space="preserve">	CO1.PCCNTR.7788628</t>
  </si>
  <si>
    <t>Alquilar espacios de oficina (coworking) en virtud del proyecto
de modernización organizacional para la unidad de planeación minero-energética.</t>
  </si>
  <si>
    <t>WORKMATES MASTERLINE S.A.S</t>
  </si>
  <si>
    <t>900300823-7</t>
  </si>
  <si>
    <t>2025114140100293E</t>
  </si>
  <si>
    <t>CO1.PCCNTR.7823853</t>
  </si>
  <si>
    <t>Prestar los servicios de mensajería certificada a nivel urbano,
nacional e internacional, mensajería electrónica y de mensajería motorizada
especializada a nivel urbano en la ciudad de Bogotá D.C.</t>
  </si>
  <si>
    <t>ALAS DE COLOMBIA - MENSAJERIA</t>
  </si>
  <si>
    <t>A-02-02-02-006-008</t>
  </si>
  <si>
    <t>OSCAR MEJIA DEVIA</t>
  </si>
  <si>
    <t>2025114140000282E</t>
  </si>
  <si>
    <t>PUBLICA</t>
  </si>
  <si>
    <t>SEGURO</t>
  </si>
  <si>
    <t>CO1.PCCNTR.7775704</t>
  </si>
  <si>
    <t>Adquirir las pólizas de seguros que amparen los bienes muebles, inmuebles e intereses patrimoniales asegurables de propiedad de la UPME y de aquellos por los que sea o llegare a ser legalmente responsable, ubicados a nivel nacional.</t>
  </si>
  <si>
    <t>AXA COLPATRIA</t>
  </si>
  <si>
    <t>A-02-02-02-007-001</t>
  </si>
  <si>
    <t>2025114140000295E</t>
  </si>
  <si>
    <t>CO1.PCCNTR.7859618</t>
  </si>
  <si>
    <t>Prestar servicios profesionales para impulsar la transformación digital de la
UPME, mediante el desarrollo de nuevos proyectos de automatización de
servicios ciudadanos digitales en Bizagi, alineados con la política de gobierno
digital y el Plan Estratégico de TI.</t>
  </si>
  <si>
    <t>SEBASTIAN BAUTISTA VELASQUEZ</t>
  </si>
  <si>
    <t xml:space="preserve">2025114140000306E </t>
  </si>
  <si>
    <t>CO1.PCCNTR.7879511</t>
  </si>
  <si>
    <t>Adquirir los elementos e insumos para dotar los botiquines de
las brigadas de emergencia y compra de elementos de bioseguridad para los
servidores públicos de la UPME.</t>
  </si>
  <si>
    <t>INVERSIÓN Y HOGAR S.A.S</t>
  </si>
  <si>
    <t>A-02-02-01-003-005</t>
  </si>
  <si>
    <t>2025114140000301E</t>
  </si>
  <si>
    <t>CO1.PCCNTR.7886907</t>
  </si>
  <si>
    <t>Prestar los servicios profesionales para apoyar y gestionar las actividades
relacionadas con el proceso de atención al ciudadano y la política de
participación ciudadana de la UPME</t>
  </si>
  <si>
    <t>GENNY PALACIOS PENAGOS</t>
  </si>
  <si>
    <t>2025114140000305E</t>
  </si>
  <si>
    <t>CO1.PCCNTR.7904006</t>
  </si>
  <si>
    <t>Prestar servicios profesionales para brindar apoyo a la subdirección de minería
para el mejoramiento de los modelos del sector minero colombiano a través
de la herramienta de dinámica de sistemas.</t>
  </si>
  <si>
    <t>HAROL ANDREY AVILA CHOCONTA</t>
  </si>
  <si>
    <t>2025114140000304E</t>
  </si>
  <si>
    <t>CO1.PCCNTR.7903551</t>
  </si>
  <si>
    <t>Prestación de servicios profesionales para realizar el desarrollo, actualización
y mantenimiento web de las diferentes versiones digitales del Plan Energético
Nacional, del Balance Energético Colombiano y de los sitios y/o subsistemas
de información relacionados con la Subdirección de Demanda de la UPME,
garantizando la satisfacción de estándares de accesibilidad de la información
dirigida a los usuarios internos y externos de la entidad.</t>
  </si>
  <si>
    <t>JUAN ALEXANDER AGREDA DELGADO</t>
  </si>
  <si>
    <t>FREDY BAUTISTA RUIZ</t>
  </si>
  <si>
    <t>2025114140000306E</t>
  </si>
  <si>
    <t>CO1.PCCNTR.7911634</t>
  </si>
  <si>
    <t>Prestar los servicios profesionales para la articulación entre la Oficina de
Fondos y la Dirección General en el marco de la implementación de la
estrategia de participación y comunicación fortaleciendo capacidades para una
planeación minero energética participativa.</t>
  </si>
  <si>
    <t>LUIS FERNANDO ÁREVALO ORDOÑEZ</t>
  </si>
  <si>
    <t>C-2102-1900-5-53106A-2102008-02
C-2106-1900-10-53105E-2106005-02</t>
  </si>
  <si>
    <t>MANUEL PEÑA SUAREZ</t>
  </si>
  <si>
    <t>2025114140000309E</t>
  </si>
  <si>
    <t>CO1.PCCNTR.7925540</t>
  </si>
  <si>
    <t>Contratar los servicios profesionales para el desarrollo de
actividades formativas de carácter Transversal y estratégico, previstas en el Plan
Institucional de Capacitación (PIC) de la vigencia 2025, dirigido a las servidoras/es
públicos de la Unidad de Planeación Minero Energética.</t>
  </si>
  <si>
    <t xml:space="preserve">Universidad Nacional </t>
  </si>
  <si>
    <t>A-02-02-02-009-002</t>
  </si>
  <si>
    <t>2025114140000307E</t>
  </si>
  <si>
    <t>CO1.PCCNTR.7934105</t>
  </si>
  <si>
    <t>Prestar servicios profesionales para el acompañamiento en los procesos de
auditoría y cumplimiento de los planes de mejoramiento, así como la
evaluación y análisis de la información de los proyectos asociados a los
Incentivos Tributarios de la UPME.</t>
  </si>
  <si>
    <t>DANIELA FONTECHA SABOYA</t>
  </si>
  <si>
    <t>2025114140000312E</t>
  </si>
  <si>
    <t>CO1.PCCNTR.7933820</t>
  </si>
  <si>
    <t>MAIRA HURTADO  TARAZONA</t>
  </si>
  <si>
    <t>ROBINSON GONSALEZ PARRA</t>
  </si>
  <si>
    <t>2025114140000308E</t>
  </si>
  <si>
    <t>CO1.PCCNTR.7935445</t>
  </si>
  <si>
    <t>JORGE PINZÓN SILVA</t>
  </si>
  <si>
    <t>2025114140000310E</t>
  </si>
  <si>
    <t>CO1.PCCNTR.7936604</t>
  </si>
  <si>
    <t>LAURA JURADO REYES</t>
  </si>
  <si>
    <t>2025114140000313E</t>
  </si>
  <si>
    <t>CO1.PCCNTR.7985087</t>
  </si>
  <si>
    <t>Prestar servicios profesionales para el diseño, desarrollo e implementación de
modelos avanzados de simulación, para la integración e interoperabilidad, de
los planes de abastecimiento y confiabilidad de la Subdirección de
Hidrocarburos.</t>
  </si>
  <si>
    <t>LUIS ALEJANDRO GALVIS PEÑUELA</t>
  </si>
  <si>
    <t>GRIGORY MASSY SANCHEZ</t>
  </si>
  <si>
    <t xml:space="preserve">2025114140100320E </t>
  </si>
  <si>
    <t>CO1.PCCNTR.7993836</t>
  </si>
  <si>
    <t>NICOLAS HERNANDO ORTIZ CARDENAS</t>
  </si>
  <si>
    <t>2025114140000323E</t>
  </si>
  <si>
    <t>CO1.PCCNTR.8026429</t>
  </si>
  <si>
    <t>Prestar los servicios profesionales para realizar la emisión de conceptos de los
diferentes proyectos de energía eléctrica y gas combustible revisados por la
Unidad de Planeación Minero Energética (UPME) que solicitan recursos a los
fondos de apoyo financiero del Ministerio de Minas y Energía (MME).</t>
  </si>
  <si>
    <t>JESUS DANIEL GARCÍA MANZANO</t>
  </si>
  <si>
    <t>MANUEL PENA SUAREZ</t>
  </si>
  <si>
    <t>2025114140000325E</t>
  </si>
  <si>
    <t>CO1.PCCNTR.8042918</t>
  </si>
  <si>
    <t>LIYIBETH GUIZA FORERO</t>
  </si>
  <si>
    <t>2025114340100321E</t>
  </si>
  <si>
    <t>OC-148159</t>
  </si>
  <si>
    <t>Actualizar y renovar el licenciamiento ESRI.</t>
  </si>
  <si>
    <t>UT CATALOGO DE SOFTWARE DE ESRI</t>
  </si>
  <si>
    <t>JOHN BARRIOS AVILA</t>
  </si>
  <si>
    <t>2025114140000326E</t>
  </si>
  <si>
    <t>CO1.PCCNTR.8053329</t>
  </si>
  <si>
    <t>ANDRES FLOREZ TARAZONA</t>
  </si>
  <si>
    <t>JUAN FRANCISCO MARTINEZ ROJAS</t>
  </si>
  <si>
    <t>2025114140000327E</t>
  </si>
  <si>
    <t>CO1.PCCNTR.8053255</t>
  </si>
  <si>
    <t>Prestar servicios profesionales para apoyar la estandarización de
procedimientos, evaluación técnica, análisis de los proyectos de Fuentes No
Convencionales de Energía y de gas por redes presentados a la UPME.</t>
  </si>
  <si>
    <t>MANUEL ALBERTO GARCIA LANCHEROS</t>
  </si>
  <si>
    <t>RELACIÓN CONTRATOS EN EJECUCIÓN VIGENCIA 2025</t>
  </si>
  <si>
    <t>N°</t>
  </si>
  <si>
    <t>CONTRATISTA</t>
  </si>
  <si>
    <t>DEPENDENCIA DESEMPEÑO</t>
  </si>
  <si>
    <t>DEPENDENCIA PRESUPUESTAL</t>
  </si>
  <si>
    <t>RUBRO - FUENTES</t>
  </si>
  <si>
    <t>CLASE DE CONTRATISTA</t>
  </si>
  <si>
    <t>CLASE CONTRATO</t>
  </si>
  <si>
    <t>PROFESION</t>
  </si>
  <si>
    <t>ESCALA HONORARIOS SERVICIOS PROFESIONALES/APOYO A LA GESTIÓN</t>
  </si>
  <si>
    <t>REQUIERE ESPECIALIZACION</t>
  </si>
  <si>
    <t>EXPERIENCIA PROFESIONAL EN MESES</t>
  </si>
  <si>
    <t>EXPERIENCIA PROFESIONAL RELACIONADA EN MESES</t>
  </si>
  <si>
    <t>VALOR GASTOS DESPLAZAMIENTO E IVA</t>
  </si>
  <si>
    <t>VALOR TOTAL DE HONORARIOS</t>
  </si>
  <si>
    <t>VALOR ADICIONES/REDUCCIONES</t>
  </si>
  <si>
    <t>VALOR FINAL</t>
  </si>
  <si>
    <t>RP - NUMERO</t>
  </si>
  <si>
    <t>RUBROS</t>
  </si>
  <si>
    <t>FECHA INICIO CONTRATO</t>
  </si>
  <si>
    <t>FECHA FINAL INICIAL</t>
  </si>
  <si>
    <t>PRORROGA EN DIAS</t>
  </si>
  <si>
    <t>FECHA FINAL</t>
  </si>
  <si>
    <t>SUBDIRECCION DE DEMANDA.</t>
  </si>
  <si>
    <t>FUN</t>
  </si>
  <si>
    <t>NATURAL</t>
  </si>
  <si>
    <t>ABOGADO</t>
  </si>
  <si>
    <t>SI</t>
  </si>
  <si>
    <t>$97.749.993</t>
  </si>
  <si>
    <t>CEDIDO</t>
  </si>
  <si>
    <t>LAURA PATRICIA HINCAPIÉ</t>
  </si>
  <si>
    <t>SECRETARIA GENERAL.</t>
  </si>
  <si>
    <t>INV</t>
  </si>
  <si>
    <t>ABOGADA</t>
  </si>
  <si>
    <t>$126.500.000</t>
  </si>
  <si>
    <t>LAURA VALENTINA SANIN</t>
  </si>
  <si>
    <t>SUBDIRECCION DE ENERGIA ELECTRICA.</t>
  </si>
  <si>
    <t>NO</t>
  </si>
  <si>
    <t>$55.050.500</t>
  </si>
  <si>
    <t>$ 7.601.000</t>
  </si>
  <si>
    <t>$42.000.000</t>
  </si>
  <si>
    <t>OFICINA DE TECNOLOGIAS DE LA INFORMACION Y LAS COMUNICACIONES</t>
  </si>
  <si>
    <t>$77.000.000</t>
  </si>
  <si>
    <t>SECRETARIA GENERAL.I.</t>
  </si>
  <si>
    <t>$18.000.000</t>
  </si>
  <si>
    <t>$ 18.000.000</t>
  </si>
  <si>
    <t>ROBERTO JOSÉ HERNANDEZ DAZA</t>
  </si>
  <si>
    <t>INGENIERO INDUSTRIAL</t>
  </si>
  <si>
    <t>Prestar los servicios profesionales para realizar el seguimiento y control de los
 procesos contractuales, la ejecución presupuestal y demás actividades que se
 requieran para el cumplimiento de las metas y objetivos de la Subdirección de
 Demanda, asociados a las iniciativas y proyectos de FNCE, GEE e Hidrógeno.</t>
  </si>
  <si>
    <t>$91.335.300</t>
  </si>
  <si>
    <t>JOHANNA CAROLINA BASTIDAS</t>
  </si>
  <si>
    <t>ENFOQUE TERRITORIAL.</t>
  </si>
  <si>
    <t>Prestar servicios profesionales para asesorar a la Dirección General en el
 relacionamiento con entidades públicas, entidades no gubernamentales y
 actores legislativos, en el marco del seguimiento de los planes y programas
 del sector minero energético.</t>
  </si>
  <si>
    <t>$138.000.000</t>
  </si>
  <si>
    <t>$150.000.000</t>
  </si>
  <si>
    <t>JUAN DAVID BELTRÁN HERRERA</t>
  </si>
  <si>
    <t>$86.250.000</t>
  </si>
  <si>
    <t>SUBDIRECCION DE MINERIA.</t>
  </si>
  <si>
    <t>INGENIERA INDUSTRIAL</t>
  </si>
  <si>
    <t>Prestar los servicios profesionales a la Subdirección de Minería que sirvan como soporte para fijar el precio base de liquidación de regalías de los diferentes minerales que se explotan en el país, análisis de datos que soporten la planeación sectorial minera, análisis de mercados de minerales para fortalecer la gestión investigativa en temas sectoriales.</t>
  </si>
  <si>
    <t>$103.500.000</t>
  </si>
  <si>
    <t>ADMINISTRADORA PUBLICA</t>
  </si>
  <si>
    <t>$92.000.000</t>
  </si>
  <si>
    <t>$94.000.000</t>
  </si>
  <si>
    <t>ADMINISTRADOR DE EMPRESA</t>
  </si>
  <si>
    <t>$19.712.700</t>
  </si>
  <si>
    <t>$ 18.836.580</t>
  </si>
  <si>
    <t>OFICINA ASESORA DE PLANEACION.</t>
  </si>
  <si>
    <t>$109.250.000</t>
  </si>
  <si>
    <t>INGENIERIA INDUSTRIAL</t>
  </si>
  <si>
    <t>Prestar servicios profesionales para el seguimiento y control del Plan Estratégico, Plan de Acción y Proyecto de Inversión de la Oficina de Tecnologías de la Información, incluyendo el acompañamiento en la ejecución presupuestal, la gestión de procesos precontractuales y demás actividades administrativas, asegurando la eficiencia en la asignación de recursos y la optimización de procesos</t>
  </si>
  <si>
    <t>$80.080.000</t>
  </si>
  <si>
    <t>MARIA PAULA NIÑO GUARÍN cedido a MARTHA ADRIANA CATALINA BALLESTEROS SANCHEZ</t>
  </si>
  <si>
    <t>$89.250.000</t>
  </si>
  <si>
    <t>SUBDIRECCION DE HIDROCARBUROS.</t>
  </si>
  <si>
    <t>INGENIERA AMBIENTAL</t>
  </si>
  <si>
    <t>$105.270.165</t>
  </si>
  <si>
    <t>$95.150.000</t>
  </si>
  <si>
    <t>$3.000.000</t>
  </si>
  <si>
    <t>$98.150.000</t>
  </si>
  <si>
    <t>INGENIERO ELECTRICISTA</t>
  </si>
  <si>
    <t>$48.117.300</t>
  </si>
  <si>
    <t>ADMINISTRADORA DE EMPRESAS</t>
  </si>
  <si>
    <t>Prestar los servicios profesionales para realizar el seguimiento y control de los
 procesos contractuales, la ejecución presupuestal y demás actividades que se
 requieran para el cumplimiento de las metas y objetivos de la Subdirección de
 Energía Eléctrica, asociados a las iniciativas y proyectos de transmisión,
 generación, convocatorias y cobertura.</t>
  </si>
  <si>
    <t>$102.482.250</t>
  </si>
  <si>
    <t>$ 1.782.300</t>
  </si>
  <si>
    <t>INGENIERA DE PROCESOS INDUSTRIALES</t>
  </si>
  <si>
    <t>Prestar los servicios profesionales para asesorar la implementación y
 mantenimiento del Sistema de Gestión Institucional y la apropiación e
 implementación del Modelo Integrado de Planeación y Gestión- MIPG.</t>
  </si>
  <si>
    <t>$115.000.000</t>
  </si>
  <si>
    <t xml:space="preserve">CO1.PCCNTR.7212702	</t>
  </si>
  <si>
    <t>ADRIAN CAMILO CORTES VILLADA cedido a KELLY JOHANA GALARZA TORRES</t>
  </si>
  <si>
    <t>$36.139.950</t>
  </si>
  <si>
    <t>DISEÑADOR GRAFICO</t>
  </si>
  <si>
    <t>$80.000.000</t>
  </si>
  <si>
    <t>OFICINA DE GESTION DE PROYECTOS DE FONDOS</t>
  </si>
  <si>
    <t>ADMINISTRADOR PUBLICO</t>
  </si>
  <si>
    <t>$98.543.500</t>
  </si>
  <si>
    <t>GIT FINANCIERA</t>
  </si>
  <si>
    <t>CONTADOR PUBLICO</t>
  </si>
  <si>
    <t>$44.200.800</t>
  </si>
  <si>
    <t>INGENIERA DE SISTEMAS</t>
  </si>
  <si>
    <t>$140.129.880</t>
  </si>
  <si>
    <t>INGENIERIA ELECRICA EN CURSO</t>
  </si>
  <si>
    <t>$28.345.200</t>
  </si>
  <si>
    <t>$ 164.320</t>
  </si>
  <si>
    <t>$110.233.250</t>
  </si>
  <si>
    <t>$ 2.639.033</t>
  </si>
  <si>
    <t>TECNICO EN SISTEMAS</t>
  </si>
  <si>
    <t>$28.588.000</t>
  </si>
  <si>
    <t>JURIDICA</t>
  </si>
  <si>
    <t>NO APLICA</t>
  </si>
  <si>
    <t>$72.620.659</t>
  </si>
  <si>
    <t>SALUD OCUPACIONAL</t>
  </si>
  <si>
    <t>$62.434.213</t>
  </si>
  <si>
    <t>LICENCIADA EN SOCIOLOGIA</t>
  </si>
  <si>
    <t>$81.279.263</t>
  </si>
  <si>
    <t>$70.000.000</t>
  </si>
  <si>
    <t>ARQUITECTA</t>
  </si>
  <si>
    <t>$81.034.800</t>
  </si>
  <si>
    <t>RELACIONISTA INTERNACIONAL</t>
  </si>
  <si>
    <t>ESTADISTICO</t>
  </si>
  <si>
    <t>$49.852.500</t>
  </si>
  <si>
    <t>PSIOCOLOGA</t>
  </si>
  <si>
    <t>$71.142.450</t>
  </si>
  <si>
    <t>INGENIERO MECANICO</t>
  </si>
  <si>
    <t>Prestar servicios profesionales para apoyar la recopilación y análisis de
 información para línea base y definición de estrategias de eficiencia energética
 en materia de movilidad; así como, apoyar la construcción de modelos
 computacionales enfocados en la predicción del comportamiento del sector
 transporte como insumos para el PEN 2024-2054, en el marco de la Transición
 Energética</t>
  </si>
  <si>
    <t>$96.068.700</t>
  </si>
  <si>
    <t>ECONOMISTA</t>
  </si>
  <si>
    <t>$121.033.600</t>
  </si>
  <si>
    <t>$22.996.384</t>
  </si>
  <si>
    <t>$144.029.984</t>
  </si>
  <si>
    <t>INGENIERA MECANICA</t>
  </si>
  <si>
    <t>$119.808.150</t>
  </si>
  <si>
    <t>FBE</t>
  </si>
  <si>
    <t>$57.500.000</t>
  </si>
  <si>
    <t>TECNOLOGO EN EN ANALISIS Y DESARROLLO DE SISTEMAS DE INFORMACION</t>
  </si>
  <si>
    <t>Prestar servicios de apoyo a la gestión en la mesa de servicio para atender, registrar, clasificar
 y dar solución de primer nivel a los requerimientos e incidencias tecnológicas reportadas por los
 usuarios, bajo las buenas prácticas ITIL y los procedimientos establecidos para la gestión de
 servicios de TI.</t>
  </si>
  <si>
    <t>$48.092.000</t>
  </si>
  <si>
    <t>INGENIERO ELECTRONICO</t>
  </si>
  <si>
    <t>$63.000.000</t>
  </si>
  <si>
    <t>$82.800.000</t>
  </si>
  <si>
    <t>Prestar los servicios profesionales para participar en el análisis y
 procesamiento de solicitudes de los agentes interesados en conectarse a la
 red nacional, regional y de distribución a través de la metodología de
 evaluación y análisis eléctricos de flujos de carga, corto y estabilidad y
 conceptos sobre las solicitudes de asignación de capacidad.</t>
  </si>
  <si>
    <t>$27.006.540</t>
  </si>
  <si>
    <t>AURA MARÍA LEON SOLER</t>
  </si>
  <si>
    <t>$88.367.016</t>
  </si>
  <si>
    <t>$ 3.835.517</t>
  </si>
  <si>
    <t>Asesorar jurídicamente a la Subdirección de Energía Eléctrica en el proceso
 verificación y cumplimiento de requisitos legales de las solicitudes de
 asignación de capacidad de transporte respuestas asociadas y atención de
 acciones de carácter jurídico, en lo relacionado con la aplicación de la
 Resolución CREG 075 de 2021 y procedimientos relacionados con la expansión
 del sistema eléctrico</t>
  </si>
  <si>
    <t>$92.944.600</t>
  </si>
  <si>
    <t>$ 2.206.400</t>
  </si>
  <si>
    <t>BIBLIOTECOLOGA</t>
  </si>
  <si>
    <t>Prestar los servicios profesionales en el proceso de gestión
 documental en la implementación del Plan Institucional de Archivos - PINAR,
 el Programa de Gestión Documental - PGD, el Sistema Integrado de
 Conservación - SIC, y en general las actividades sobre gestión documental
 que se definan en el Plan de Acción para la vigencia 2025 de la Unidad de
 Planeación Minero-Energética.</t>
  </si>
  <si>
    <t>$77.357.740</t>
  </si>
  <si>
    <t>Prestación de servicios profesionales de estructuración gráfica de
 documentos, diseño digital, presentaciones de diversa índole que sean
 requeridos por el área de OTI</t>
  </si>
  <si>
    <t>$80.500.000</t>
  </si>
  <si>
    <t>INGENIERO AMBIENTAL</t>
  </si>
  <si>
    <t>$600.000</t>
  </si>
  <si>
    <t>$120.408.150</t>
  </si>
  <si>
    <t>NASHLA GONZALEZ CLEVEZ</t>
  </si>
  <si>
    <t>$1.400.000</t>
  </si>
  <si>
    <t>$121.208.150</t>
  </si>
  <si>
    <t>$81.000.000</t>
  </si>
  <si>
    <t>CATALINA BALLESTEROS SANCHEZ cedido a ANDREA SALAZAR ROCHA</t>
  </si>
  <si>
    <t>$90.933.329</t>
  </si>
  <si>
    <t>$62.939.500</t>
  </si>
  <si>
    <t>$48.613.950</t>
  </si>
  <si>
    <t>LAURA FLECHAS MEJÍA</t>
  </si>
  <si>
    <t>INGENIERIA AMBIENTAL</t>
  </si>
  <si>
    <t>$108.415.440</t>
  </si>
  <si>
    <t>$5.682.060</t>
  </si>
  <si>
    <t>$114.097.500</t>
  </si>
  <si>
    <t>Prestar los servicios profesionales para la preparación y divulgación de documentos de planeación, considerando el diseño, evaluación y análisis de la expansión de la generación y la transmisión nacional, regional y local, la cobertura del servicio de energía eléctrica, así como participar en la aplicación de las metodologías de evaluación y análisis económicos y tarifarios</t>
  </si>
  <si>
    <t>$140.916.056</t>
  </si>
  <si>
    <t>$ 4.194.811</t>
  </si>
  <si>
    <t>C-2102-1900-6-40301C-2102009-02 C-2103-1900-2-40301B-2103026-02</t>
  </si>
  <si>
    <t>KAREN TATIANA GIRÓN USECHE</t>
  </si>
  <si>
    <t>RELACIONES INTERNACIONALES</t>
  </si>
  <si>
    <t>C-2106-1900-10-53105E-2106005-02 C-2106-1900-10-53105E-2106022-02</t>
  </si>
  <si>
    <t>$74.750.000</t>
  </si>
  <si>
    <t>CO1.PCCNTR.7253988</t>
  </si>
  <si>
    <t>INGENIERO DE SISTEMAS</t>
  </si>
  <si>
    <t>$59.566.867</t>
  </si>
  <si>
    <t>$49.500.000</t>
  </si>
  <si>
    <t>$84.600.000</t>
  </si>
  <si>
    <t>CO1.PCCNTR.7259306</t>
  </si>
  <si>
    <t>OLGA ESTELLA RAMIREZ YAIMA</t>
  </si>
  <si>
    <t>$29.991.500</t>
  </si>
  <si>
    <t>$ 15.138.567</t>
  </si>
  <si>
    <t>CO1.PCCNTR.7255926</t>
  </si>
  <si>
    <t>SANDRA MILENA SANCHEZ MENDOZA cedido a FELIPE HUMBERTO CORREDOR CALDERON</t>
  </si>
  <si>
    <t>$20.755.000</t>
  </si>
  <si>
    <t>$ 11.069.333</t>
  </si>
  <si>
    <t>KEVIN ENRIQUE RAMOS HERNANDEZ</t>
  </si>
  <si>
    <t>BLANCA DEL PILAR SALGADO SALGUERO</t>
  </si>
  <si>
    <t>Control Interno</t>
  </si>
  <si>
    <t>VARIOS</t>
  </si>
  <si>
    <t>CONTADORA PUBLICA</t>
  </si>
  <si>
    <t>$97.750.000</t>
  </si>
  <si>
    <t>A-05-01-02-008-003 C-2102-1900-5-53106A-2102008-02 C-2102-1900-6-40301C-2102009-02 C-2103-1900-2-40301B-2103026-02 C-2106-1900-10-53105E-2106005-02</t>
  </si>
  <si>
    <t>GERARDO TEJEDOR PEREZ</t>
  </si>
  <si>
    <t>$24.556.000</t>
  </si>
  <si>
    <t>$ 13.096.533</t>
  </si>
  <si>
    <t>CO1.PCCNTR.7260913</t>
  </si>
  <si>
    <t>A-05-01-02-008-003 C-2102-1900-5-53106A-2102008-02 C-2102-1900-6-40301C-2102009-02 C-2103-1900-2-40301B-2103026-02 C-2106-1900-10-53105E-2106005-02 C-2106-1900-12-40302A-2106003-02 C-2106-1900-14-53105B-2106010-02 C-2199-1900-5-53105B-2199065-02 C-2199-1900-4-53105B-2199056-02</t>
  </si>
  <si>
    <t>Prestar el servicio de arrendamiento para bodegaje y administración integral del archivo central de la UPME.</t>
  </si>
  <si>
    <t>$115.349.983</t>
  </si>
  <si>
    <t>CO1.PCCNTR.7263041</t>
  </si>
  <si>
    <t>$79.820.235</t>
  </si>
  <si>
    <t>$18.723.265</t>
  </si>
  <si>
    <t>Prestar los servicios para realizar exámenes médicos de
 vinculación (Ingreso) y desvinculación (Retiro) de los funcionarios de la Unidad de
 Planeación Minero Energética.</t>
  </si>
  <si>
    <t>CO1.PCCNTR.7268541</t>
  </si>
  <si>
    <t>NANCY YURANY VANEGAS</t>
  </si>
  <si>
    <t>TECNICO CONTABLE</t>
  </si>
  <si>
    <t>$36.293.950</t>
  </si>
  <si>
    <t>$ 1.099.817</t>
  </si>
  <si>
    <t>JEHISON DAVID CIFUENTES CORTES</t>
  </si>
  <si>
    <t>$69.300.000</t>
  </si>
  <si>
    <t>GILDARDO ANDRÉS VARGAS ACUÑA</t>
  </si>
  <si>
    <t>INGENIERIA DE SISTEMAS Y
COMPUTACION</t>
  </si>
  <si>
    <t>$75.000.000</t>
  </si>
  <si>
    <t>$22.211.000</t>
  </si>
  <si>
    <t>$ 11.634.333</t>
  </si>
  <si>
    <t>EDMA MARITZA REAL</t>
  </si>
  <si>
    <t>$64.142.720</t>
  </si>
  <si>
    <t>PAOLA GOMEZ MARTINEZ</t>
  </si>
  <si>
    <t>Prestar los servicios profesionales en las acciones relacionadas con la
 capacidad administrativa de los bienes y servicios requeridos por la UPME.</t>
  </si>
  <si>
    <t>ASDRUBAL GONZÁLEZ</t>
  </si>
  <si>
    <t>$73.668.000</t>
  </si>
  <si>
    <t>CATALINA LONDOÑO</t>
  </si>
  <si>
    <t>GEOLOGO</t>
  </si>
  <si>
    <t>$81.400.000</t>
  </si>
  <si>
    <t>JUAN CAMILO SANCHEZ</t>
  </si>
  <si>
    <t>$55.000.000</t>
  </si>
  <si>
    <t>CO1.PCCNTR.7292780</t>
  </si>
  <si>
    <t>$14.091.000</t>
  </si>
  <si>
    <t>$ 7.112.600</t>
  </si>
  <si>
    <t>$72.765.000</t>
  </si>
  <si>
    <t>MARLET YOJANA GARCÍA PÁEZ</t>
  </si>
  <si>
    <t>INGENIERA AMBIENTAL Y SANITARIA</t>
  </si>
  <si>
    <t>$73.296.300</t>
  </si>
  <si>
    <t xml:space="preserve">CO1.PCCNTR.7299749	</t>
  </si>
  <si>
    <t>MIGUEL VIVEROS</t>
  </si>
  <si>
    <t>INGENIERO AERONAUTICO</t>
  </si>
  <si>
    <t>SARAY GISELLA GOMEZ</t>
  </si>
  <si>
    <t>INGENIERO EN ENERGIA</t>
  </si>
  <si>
    <t>ANGELA  PATRICIA TORRES LUNA</t>
  </si>
  <si>
    <t>TECNOLOGO EN ANALISIS Y DESARROLLO DE SISTEMAS DE LA INFORMACION</t>
  </si>
  <si>
    <t>$45.066.667</t>
  </si>
  <si>
    <t>LINA MARITZA CASTELLANOS URIBE</t>
  </si>
  <si>
    <t>Prestar servicios profesionales para la elaboración de metodologías para la
 proyección de precios de los energéticos en el contexto de la política de
 transición energética requeridos por la Subdirección de Hidrocarburos</t>
  </si>
  <si>
    <t>$117.377.260</t>
  </si>
  <si>
    <t>$117.977.260</t>
  </si>
  <si>
    <t>DIEGO JOSÉ PEÑARANDA</t>
  </si>
  <si>
    <t>Prestación de servicios profesionales de diagramación de documentos, diseño y diagramación de datos, diseño de piezas para canales digitales de la UPME y necesidades generales de diseño en el área de Comunicaciones.</t>
  </si>
  <si>
    <t>$81.120.000</t>
  </si>
  <si>
    <t>$60.000.000</t>
  </si>
  <si>
    <t>PSICOLOGA</t>
  </si>
  <si>
    <t>$83.000.000</t>
  </si>
  <si>
    <t>$ 9.685.667</t>
  </si>
  <si>
    <t>ADRIANA DURAN CENTENO cedido a FERNANDO AMAYA BRICEÑO</t>
  </si>
  <si>
    <t>OFICINA ASESORA JURIDICA.</t>
  </si>
  <si>
    <t>$45.250.000</t>
  </si>
  <si>
    <t>$50.000.000</t>
  </si>
  <si>
    <t>$19.155.500</t>
  </si>
  <si>
    <t>$ 8.939.233</t>
  </si>
  <si>
    <t>Prestar servicios profesionales de diagramación de documentos, diseño y
 diagramación de datos, diseño de piezas para canales digitales de la UPME y
 necesidades generales de diseño en el área de OTI.</t>
  </si>
  <si>
    <t>$56.749.000</t>
  </si>
  <si>
    <t>ADMINISTRADOR DE EMPRESAS</t>
  </si>
  <si>
    <t>$50.700.000</t>
  </si>
  <si>
    <t>$41.619.000</t>
  </si>
  <si>
    <t>SUBDIRECCION DE DEMANDA., SUBDIRECCION DE HIDROCARBUROS.</t>
  </si>
  <si>
    <t>INGENIERO QUIMICO</t>
  </si>
  <si>
    <t>$147.600.000</t>
  </si>
  <si>
    <t>$150.600.000</t>
  </si>
  <si>
    <t>FINANCIERA</t>
  </si>
  <si>
    <t>$62.606.500</t>
  </si>
  <si>
    <t>$ 6.678.027</t>
  </si>
  <si>
    <t>$68.640.000</t>
  </si>
  <si>
    <t>$ 624.000</t>
  </si>
  <si>
    <t>POLITOLOGO</t>
  </si>
  <si>
    <t>$77.176.000</t>
  </si>
  <si>
    <t>$7.824.000</t>
  </si>
  <si>
    <t>$85.000.000</t>
  </si>
  <si>
    <t>$31.333.745</t>
  </si>
  <si>
    <t>$ 31.333.745</t>
  </si>
  <si>
    <t>$58.320.000</t>
  </si>
  <si>
    <t>DISEÑADORA GRAFICA</t>
  </si>
  <si>
    <t>$36.000.000</t>
  </si>
  <si>
    <t>$56.100.000</t>
  </si>
  <si>
    <t>Prestar servicios profesionales para el diseño de los procesos definidos en el
 nuevo modelo operativo de la UPME y los elementos (caracterizaciones,
 documentación, normatividad, indicadores de gestión, roles  que los integran.</t>
  </si>
  <si>
    <t>$99.000.000</t>
  </si>
  <si>
    <t>$90.011.600</t>
  </si>
  <si>
    <t>Prestar servicios profesionales de diagramación de planes y productos, y diversos formatos de datos digitales de la UPME en el área de Comunicaciones.</t>
  </si>
  <si>
    <t>CONTRATO PRESTACION DE APOYO A LA GESTION</t>
  </si>
  <si>
    <t>TECNICO EN CINE Y TELEVISION</t>
  </si>
  <si>
    <t>Prestar servicios de apoyo a la gestión para la UPME en la creación de
 productos audiovisuales para los diferentes canales de la entidad y
 necesidades del Plan Estratégico de OFICINA DE TECNOLOGIAS.</t>
  </si>
  <si>
    <t>$52.844.000</t>
  </si>
  <si>
    <t>$7.000.000</t>
  </si>
  <si>
    <t>$59.844.000</t>
  </si>
  <si>
    <t>INGENIERA ELECTRICISTA</t>
  </si>
  <si>
    <t>$43.779.600</t>
  </si>
  <si>
    <t>$35.437.675</t>
  </si>
  <si>
    <t>$123.198.900</t>
  </si>
  <si>
    <t>$8.740.509</t>
  </si>
  <si>
    <t>$155.347.200</t>
  </si>
  <si>
    <t>INGENIERA CATASTRAL</t>
  </si>
  <si>
    <t>$78.100.000</t>
  </si>
  <si>
    <t>INGENIERA DE PETROLEOS</t>
  </si>
  <si>
    <t>$114.599.100</t>
  </si>
  <si>
    <t>$1.000.000</t>
  </si>
  <si>
    <t>$115.599.100</t>
  </si>
  <si>
    <t>$115.999.100</t>
  </si>
  <si>
    <t>INGENIERA QUIMICA</t>
  </si>
  <si>
    <t>$98.971.950</t>
  </si>
  <si>
    <t>$99.571.950</t>
  </si>
  <si>
    <t>INGENIERA ELECTRICSITA</t>
  </si>
  <si>
    <t>$119.350.000</t>
  </si>
  <si>
    <t>$22.676.500</t>
  </si>
  <si>
    <t>$142.026.500</t>
  </si>
  <si>
    <t>$85.690.000</t>
  </si>
  <si>
    <t>$39.963.000</t>
  </si>
  <si>
    <t>$85.546.500</t>
  </si>
  <si>
    <t>$44.000.000</t>
  </si>
  <si>
    <t>INGENIERO EN ENERGIAS</t>
  </si>
  <si>
    <t>$40.293.000</t>
  </si>
  <si>
    <t>PUBLICISTA</t>
  </si>
  <si>
    <t>$88.000.000</t>
  </si>
  <si>
    <t>ELECTRICISTA</t>
  </si>
  <si>
    <t>$87.389.040</t>
  </si>
  <si>
    <t>$39.801.267</t>
  </si>
  <si>
    <t>$56.700.000</t>
  </si>
  <si>
    <t>$91.014.000</t>
  </si>
  <si>
    <t>$65.800.000</t>
  </si>
  <si>
    <t>COMUNICADORA SOCIAL</t>
  </si>
  <si>
    <t>$66.000.000</t>
  </si>
  <si>
    <t>$144.733.333</t>
  </si>
  <si>
    <t>PROFESIONAL EN CINE Y AUDIOVISUALES</t>
  </si>
  <si>
    <t>$36.519.000</t>
  </si>
  <si>
    <t>$4.900.000</t>
  </si>
  <si>
    <t>$41.419.000</t>
  </si>
  <si>
    <t>CO1.PCCNTR.7366385</t>
  </si>
  <si>
    <t>$101.200.000</t>
  </si>
  <si>
    <t>$34.497.225</t>
  </si>
  <si>
    <t>ADMINISTRATIVA</t>
  </si>
  <si>
    <t>ADMINISTRADORA DE NEGOCIOS INTERNACIONES</t>
  </si>
  <si>
    <t>$35.028.000</t>
  </si>
  <si>
    <t>$41.343.500</t>
  </si>
  <si>
    <t>INGENIERA CIVIL</t>
  </si>
  <si>
    <t>$45.930.150</t>
  </si>
  <si>
    <t>CO1.PCCNTR.7397082</t>
  </si>
  <si>
    <t>$39.576.810</t>
  </si>
  <si>
    <t>$37.950.000</t>
  </si>
  <si>
    <t>INGENIERA ELECTRICSTA</t>
  </si>
  <si>
    <t>$2.818.850</t>
  </si>
  <si>
    <t>$38.958.800</t>
  </si>
  <si>
    <t>LICENCIADO EN ETNOEDUCACION</t>
  </si>
  <si>
    <t>$4.500.000</t>
  </si>
  <si>
    <t>$70.500.000</t>
  </si>
  <si>
    <t>$88.367.017</t>
  </si>
  <si>
    <t>NEGOCIONISTA INTERNACIONAL</t>
  </si>
  <si>
    <t>AUXILIAR EN SISTEMAS</t>
  </si>
  <si>
    <t>$20.374.200</t>
  </si>
  <si>
    <t>$56.000.000</t>
  </si>
  <si>
    <t>$41.235.740</t>
  </si>
  <si>
    <t>$64.400.000</t>
  </si>
  <si>
    <t>$76.206.667</t>
  </si>
  <si>
    <t>$79.046.500</t>
  </si>
  <si>
    <t>$85482633</t>
  </si>
  <si>
    <t>$2000000</t>
  </si>
  <si>
    <t>$ 87.482.633</t>
  </si>
  <si>
    <t>TECNOLOGO EN ANALISIS Y
DESARROLLO DE SISTEMAS DE
INFORMACION</t>
  </si>
  <si>
    <t>$49.257.000</t>
  </si>
  <si>
    <t>$129.571.585</t>
  </si>
  <si>
    <t>$26.780.667</t>
  </si>
  <si>
    <t>CO1.PCCNTR.7408024</t>
  </si>
  <si>
    <t>$45.795.750</t>
  </si>
  <si>
    <t>$66.811.333</t>
  </si>
  <si>
    <t>$35.252.750</t>
  </si>
  <si>
    <t>INGENIERA ELECTROMECANICA</t>
  </si>
  <si>
    <t>$68.748.333</t>
  </si>
  <si>
    <t>INGENIERO TOPOGRAFICO</t>
  </si>
  <si>
    <t>INGENIERO ELECTRICO</t>
  </si>
  <si>
    <t>$62.000.000</t>
  </si>
  <si>
    <t>$81.279.100</t>
  </si>
  <si>
    <t>$ 44.122.940</t>
  </si>
  <si>
    <t>$54.645.500</t>
  </si>
  <si>
    <t>FABIAN GARZON</t>
  </si>
  <si>
    <t>$85.866.667</t>
  </si>
  <si>
    <t>$104.843.375</t>
  </si>
  <si>
    <t>INTERNACIONALISTA</t>
  </si>
  <si>
    <t>$84.981.540</t>
  </si>
  <si>
    <t>$65.378.250</t>
  </si>
  <si>
    <t>$35.750.000</t>
  </si>
  <si>
    <t>CO1.PCCNTR.7423185</t>
  </si>
  <si>
    <t>$92.555.000</t>
  </si>
  <si>
    <t>DIANA ARIAS</t>
  </si>
  <si>
    <t>$73.830.000</t>
  </si>
  <si>
    <t>$6.070.000</t>
  </si>
  <si>
    <t>$79.900.000</t>
  </si>
  <si>
    <t>SOCIOLOGO</t>
  </si>
  <si>
    <t>$96.778.500</t>
  </si>
  <si>
    <t>$25259892</t>
  </si>
  <si>
    <t>TECNICO PROFESIONAL EN PROCESOS AUDIOVISUALES</t>
  </si>
  <si>
    <t>$47.250.000</t>
  </si>
  <si>
    <t>EMMANUEL JOSE MANZANO VERJEL</t>
  </si>
  <si>
    <t>$35.044.800</t>
  </si>
  <si>
    <t>$78.816.200</t>
  </si>
  <si>
    <t>$6.783.800</t>
  </si>
  <si>
    <t>$85.600.000</t>
  </si>
  <si>
    <t>$5.466.667</t>
  </si>
  <si>
    <t>$68.466.667</t>
  </si>
  <si>
    <t>$58.300.000</t>
  </si>
  <si>
    <t>$79.500.000</t>
  </si>
  <si>
    <t>$80.900.000</t>
  </si>
  <si>
    <t>$68.250.000</t>
  </si>
  <si>
    <t>INGENIERA AGROINDUSTRIAL</t>
  </si>
  <si>
    <t>$91.690.000</t>
  </si>
  <si>
    <t>$50.604.750</t>
  </si>
  <si>
    <t>$95.073.055</t>
  </si>
  <si>
    <t>$96.073.055</t>
  </si>
  <si>
    <t>INGENIERO GEOGRAFICO</t>
  </si>
  <si>
    <t>$50.400.000</t>
  </si>
  <si>
    <t>Carolina Giraldo</t>
  </si>
  <si>
    <t>$38.366.510</t>
  </si>
  <si>
    <t>INGENIERA FORESTAL</t>
  </si>
  <si>
    <t>$77.500.000</t>
  </si>
  <si>
    <t>$3.750.000</t>
  </si>
  <si>
    <t>$81.250.000</t>
  </si>
  <si>
    <t>INGENIERO CATASTRAL</t>
  </si>
  <si>
    <t>$100.000.000</t>
  </si>
  <si>
    <t>$70.677.620</t>
  </si>
  <si>
    <t>$72.333.333</t>
  </si>
  <si>
    <t>BACHILLER</t>
  </si>
  <si>
    <t>$23.974.720</t>
  </si>
  <si>
    <t>N/A</t>
  </si>
  <si>
    <t>#¡VALOR!</t>
  </si>
  <si>
    <t xml:space="preserve">Prestar los servicios profesionales en la estructuración, consolidación y
presentación del estudio técnico, proyectos de actos administrativos y los
anexos requeridos por el Departamento Administrativo de la Función Pública
DAFP y prestar el apoyo jurídico requerido, en el marco de la segunda fase del
proceso de modernización de la UPME..
</t>
  </si>
  <si>
    <t>$94.680.000</t>
  </si>
  <si>
    <t>COMUNICADOR SOCIAL</t>
  </si>
  <si>
    <t>QUIMICO</t>
  </si>
  <si>
    <t>SOCIOLOGA</t>
  </si>
  <si>
    <t>ADMINISTRADORA EN SALUD</t>
  </si>
  <si>
    <t xml:space="preserve">UNIVERSIDAD NACIONAL DE COLOMBIA
</t>
  </si>
  <si>
    <t xml:space="preserve">AO-2025-01
</t>
  </si>
  <si>
    <t>JURIDICA EXTRANJERA</t>
  </si>
  <si>
    <t>$ 14.500.000</t>
  </si>
  <si>
    <t>GEOLOGA</t>
  </si>
  <si>
    <t>$5000000</t>
  </si>
  <si>
    <t xml:space="preserve">CAJA DE COMPENSACION COMPENSAR
</t>
  </si>
  <si>
    <t>A-02-02-02-009-006</t>
  </si>
  <si>
    <t>C-2199-1900-5-53105B-2199065-02     C-2199-1900-5-53105B-2199067-02</t>
  </si>
  <si>
    <t>ENFOQUE TERRITORIAL</t>
  </si>
  <si>
    <t>FILOSOFO</t>
  </si>
  <si>
    <t>$18.973.500</t>
  </si>
  <si>
    <t>$1.691.106</t>
  </si>
  <si>
    <t>$20.664.606</t>
  </si>
  <si>
    <t>PLANEACIÓN</t>
  </si>
  <si>
    <t>C-2199-1900-4-53105B-2199062-02     C-2199-1900-4-53105B-2199056-02</t>
  </si>
  <si>
    <t xml:space="preserve">BIZAGI LATAM
</t>
  </si>
  <si>
    <t>IMPRENTA NACIONAL DE COLOMBIA</t>
  </si>
  <si>
    <t>SECRETARÍA GENERAL</t>
  </si>
  <si>
    <t>$18.624.400</t>
  </si>
  <si>
    <t>A-02-02-02-008-009</t>
  </si>
  <si>
    <t>N.A.</t>
  </si>
  <si>
    <t>$300.000.000.00</t>
  </si>
  <si>
    <t>$300.000.000</t>
  </si>
  <si>
    <t>LICENCIADA EN GESTION AMBIENTAL</t>
  </si>
  <si>
    <t>Natali Carmona Giraldo</t>
  </si>
  <si>
    <t>TRABAJADORA SOCIAL</t>
  </si>
  <si>
    <t>$20.709.981</t>
  </si>
  <si>
    <t>$35000000</t>
  </si>
  <si>
    <t>$192000000</t>
  </si>
  <si>
    <t>LICENCIADO EN EDUCACION BASICA CON ENFASIS EN CIENCIAS SOCIALES</t>
  </si>
  <si>
    <t>$54841995</t>
  </si>
  <si>
    <t>FILOSOFA</t>
  </si>
  <si>
    <t>$ 85.340.001</t>
  </si>
  <si>
    <t>$390000000</t>
  </si>
  <si>
    <t>$ 22.500.000</t>
  </si>
  <si>
    <t>PLUXEE COLOMBIA S.A.S.</t>
  </si>
  <si>
    <t>$8939784</t>
  </si>
  <si>
    <t>A-02-02-01-002-008</t>
  </si>
  <si>
    <t>JOVITA SANABRIA CHARRY</t>
  </si>
  <si>
    <t>$74233333</t>
  </si>
  <si>
    <t>DIANA DIAZ CASTRO</t>
  </si>
  <si>
    <t>$82333333</t>
  </si>
  <si>
    <t>$135.372.026</t>
  </si>
  <si>
    <t>SECRETARIA GENERAL.I</t>
  </si>
  <si>
    <t>$28.145.355</t>
  </si>
  <si>
    <t>$32.887.400</t>
  </si>
  <si>
    <t>CO1.PCCNTR.7779264</t>
  </si>
  <si>
    <t>$48000000</t>
  </si>
  <si>
    <t>FASE II - EDILBERTO
PEÑA ROMERO</t>
  </si>
  <si>
    <t>ARQUITECTO</t>
  </si>
  <si>
    <t>$19.500.000</t>
  </si>
  <si>
    <t>$688.481.282</t>
  </si>
  <si>
    <t>$688481282</t>
  </si>
  <si>
    <t>$178.844.605</t>
  </si>
  <si>
    <t>INV/FUN</t>
  </si>
  <si>
    <t>$73803600</t>
  </si>
  <si>
    <t>$10000000</t>
  </si>
  <si>
    <t>Adquirir los elementos e insumos para dotar los Botiquines de
las brigadas de emergencia y compra de elementos de bioseguridad para los
servidores públicos de la UPME.</t>
  </si>
  <si>
    <t>$4.381.507</t>
  </si>
  <si>
    <t>$55.777.200</t>
  </si>
  <si>
    <t>$46.148.900</t>
  </si>
  <si>
    <t>FUN/INV</t>
  </si>
  <si>
    <t>$51.800.000</t>
  </si>
  <si>
    <t>$68.036.822</t>
  </si>
  <si>
    <t>DANIELA FONTECHA</t>
  </si>
  <si>
    <t>$ 23.326.695</t>
  </si>
  <si>
    <t>MAIRA HURTADO</t>
  </si>
  <si>
    <t>PROFESIONAL EN CIENCIA POLITICA Y GOBIERNO</t>
  </si>
  <si>
    <t>CONTRATO DE PRESTACION DE SERVICIOS</t>
  </si>
  <si>
    <t>$ 82.742.000</t>
  </si>
  <si>
    <t>CONSOLIDADA CONTRATACION 2025</t>
  </si>
  <si>
    <t>UNIDAD DE PLANEACION MINERO ENERGETICA</t>
  </si>
  <si>
    <t>TIPO IDENTIFICACION</t>
  </si>
  <si>
    <t>IDENTIFICACION</t>
  </si>
  <si>
    <t>COMITE</t>
  </si>
  <si>
    <t>FECHA DE FIRMA</t>
  </si>
  <si>
    <t>DEPENDENCIA ($)</t>
  </si>
  <si>
    <t>REVISOR BORRADOR EP</t>
  </si>
  <si>
    <t>DOCUMENTOS CONTRATISTA</t>
  </si>
  <si>
    <t>INSUFICIENCIA - RADICADO</t>
  </si>
  <si>
    <t>VB PLANEACION</t>
  </si>
  <si>
    <t>FECHA RAD EP</t>
  </si>
  <si>
    <t>RAD EP</t>
  </si>
  <si>
    <t>FECHA ASIGNACION ABOGADO</t>
  </si>
  <si>
    <t>PROCESO SECOP II - TIENDA VIRTUAL</t>
  </si>
  <si>
    <t>ESTADO FLUJO DE INICIO CONTRATO</t>
  </si>
  <si>
    <t>LINEAS PAA</t>
  </si>
  <si>
    <t>GENERO</t>
  </si>
  <si>
    <t>ARL</t>
  </si>
  <si>
    <t>AFP</t>
  </si>
  <si>
    <t>EPS</t>
  </si>
  <si>
    <t>POLIZA FECHA FIRMA</t>
  </si>
  <si>
    <t>CIUDAD DE NACIMIENTO</t>
  </si>
  <si>
    <t>FECHA DE NACIMIENTO</t>
  </si>
  <si>
    <t>EDAD</t>
  </si>
  <si>
    <t>CORREO INSTITUCIONAL</t>
  </si>
  <si>
    <t>CORREO PERSONAL</t>
  </si>
  <si>
    <t>ORDENADOR DEL GASTO</t>
  </si>
  <si>
    <t>MODIFICATORIO</t>
  </si>
  <si>
    <t>RUBRO RP</t>
  </si>
  <si>
    <t>FECHA INICIO COBERTURA</t>
  </si>
  <si>
    <t>FECHA FINAL COBERTURA</t>
  </si>
  <si>
    <t>FECHA FINAL CONTRATO</t>
  </si>
  <si>
    <t>FECHA DE LIQUIDACION MAX(CUANDO APLIQUE)</t>
  </si>
  <si>
    <t>PLAZO EJECUCION DIAS</t>
  </si>
  <si>
    <t>ENLACE SIGEP II</t>
  </si>
  <si>
    <t>ENLACE SECOP</t>
  </si>
  <si>
    <t>FECHA NOTIFICACION</t>
  </si>
  <si>
    <t>CEDULA SUPERVISOR</t>
  </si>
  <si>
    <t>CORREO SUPERVISOR</t>
  </si>
  <si>
    <t>DEPENDENCIA SUPERVISOR</t>
  </si>
  <si>
    <t>EXPEDIENTE</t>
  </si>
  <si>
    <t>REPORTE SIRECI</t>
  </si>
  <si>
    <t>ZONA ASIGNADA</t>
  </si>
  <si>
    <t>DOC SECOP</t>
  </si>
  <si>
    <t>DOC SERVIDOR</t>
  </si>
  <si>
    <t>DOC ARGO</t>
  </si>
  <si>
    <t>CEDULA DE CIUDADANIA</t>
  </si>
  <si>
    <t>EDWIN GARCIA AMAYA</t>
  </si>
  <si>
    <t>S.G. - GIT Gestión Contractual</t>
  </si>
  <si>
    <t>S.D.</t>
  </si>
  <si>
    <t>ANGELA</t>
  </si>
  <si>
    <t>OK</t>
  </si>
  <si>
    <t>EDITH</t>
  </si>
  <si>
    <t>DIRECTA 001-2025</t>
  </si>
  <si>
    <t>FIRMADO</t>
  </si>
  <si>
    <t>161-49</t>
  </si>
  <si>
    <t>FEMENINO</t>
  </si>
  <si>
    <t>POSITIVA</t>
  </si>
  <si>
    <t>PROTECCION</t>
  </si>
  <si>
    <t>COMPENSAR</t>
  </si>
  <si>
    <t>BOGOTA DC</t>
  </si>
  <si>
    <t>andrea.pedroza@upme.gov.co</t>
  </si>
  <si>
    <t>andrepedroza604@gmail.com</t>
  </si>
  <si>
    <t>SECRETARIA GENERAL PAULA JOHANNA RUIZ CC 52966718</t>
  </si>
  <si>
    <t>https://www1.funcionpublica.gov.co/web/sigep2/hdv/-/directorio/S509661-0880-5/view</t>
  </si>
  <si>
    <t>https://community.secop.gov.co/Public/Tendering/ContractNoticePhases/View?PPI=CO1.PPI.36485633&amp;isFromPublicArea=True&amp;isModal=False</t>
  </si>
  <si>
    <t>edith.chavez@upme.gov.co</t>
  </si>
  <si>
    <t>GRUPO DE GESTION CONTRACTUAL</t>
  </si>
  <si>
    <t>ENERO</t>
  </si>
  <si>
    <t>S.G.</t>
  </si>
  <si>
    <t>MILENA</t>
  </si>
  <si>
    <t>DIRECTA 002-2025</t>
  </si>
  <si>
    <t>110-11</t>
  </si>
  <si>
    <t>PORVENIR</t>
  </si>
  <si>
    <t>SANITAS</t>
  </si>
  <si>
    <t>CUCUTA</t>
  </si>
  <si>
    <t>laura. laura.hincapie@upme.gov.co</t>
  </si>
  <si>
    <t>aurap.hincapiev@gmail.com</t>
  </si>
  <si>
    <t>https://www1.funcionpublica.gov.co/web/sigep2/hdv/-/directorio/S882150-0880-5/view</t>
  </si>
  <si>
    <t>https://community.secop.gov.co/Public/Tendering/ContractNoticePhases/View?PPI=CO1.PPI.36517362&amp;isFromPublicArea=True&amp;isModal=False</t>
  </si>
  <si>
    <t>PAULA JOHANNA RUIZ QUINTANA</t>
  </si>
  <si>
    <t>paula.ruiz@upme.gov.co</t>
  </si>
  <si>
    <t>EN EJECUSION</t>
  </si>
  <si>
    <t>S.E.E.</t>
  </si>
  <si>
    <t>DIRECTA 003-2025</t>
  </si>
  <si>
    <t>150-17</t>
  </si>
  <si>
    <t>MANIZALES</t>
  </si>
  <si>
    <t>laura.morales@upme.gov.co</t>
  </si>
  <si>
    <t>laurasanintM@gmail.com</t>
  </si>
  <si>
    <t>https://www1.funcionpublica.gov.co/web/sigep2/hdv/-/directorio/S2803588-0880-5/view</t>
  </si>
  <si>
    <t>GUSTAVO ADOLFO JIMENEZ PAEZ</t>
  </si>
  <si>
    <t>gustavo.jimenez@upme.gov.co</t>
  </si>
  <si>
    <t>LAURA</t>
  </si>
  <si>
    <t>DIRECTA 004-2025</t>
  </si>
  <si>
    <t>110-4</t>
  </si>
  <si>
    <t>SURA</t>
  </si>
  <si>
    <t>SANTA MARTA</t>
  </si>
  <si>
    <t>milena.herrera@upme.gov.co</t>
  </si>
  <si>
    <t>mile_herrera@hotmail.com</t>
  </si>
  <si>
    <t>https://www1.funcionpublica.gov.co/web/sigep2/hdv/-/directorio/S1754554-0880-5/view</t>
  </si>
  <si>
    <t>CAMILA</t>
  </si>
  <si>
    <t>DIRECTA 005-2025</t>
  </si>
  <si>
    <t>130-16</t>
  </si>
  <si>
    <t>COLPENSIONES</t>
  </si>
  <si>
    <t>ALIANSALUD</t>
  </si>
  <si>
    <t>SOGAMOSO</t>
  </si>
  <si>
    <t>karina.gomez@upme.gov.co</t>
  </si>
  <si>
    <t xml:space="preserve">	kandreagc@gmail.com</t>
  </si>
  <si>
    <t>https://www1.funcionpublica.gov.co/web/sigep2/hdv/-/directorio/S1239786-0880-5/view</t>
  </si>
  <si>
    <t>S.G.I.</t>
  </si>
  <si>
    <t>KARINA</t>
  </si>
  <si>
    <t>DIRECTA 006-2025</t>
  </si>
  <si>
    <t>131-8</t>
  </si>
  <si>
    <t>PULI</t>
  </si>
  <si>
    <t>maria.herrera@upme.gov.co</t>
  </si>
  <si>
    <t>herrera.charry@outlook.es</t>
  </si>
  <si>
    <t>https://www1.funcionpublica.gov.co/web/sigep2/hdv/-/directorio/S2334708-0880-5/view</t>
  </si>
  <si>
    <t>https://community.secop.gov.co/Public/Tendering/ContractNoticePhases/View?PPI=CO1.PPI.36537369&amp;isFromPublicArea=True&amp;isModal=False</t>
  </si>
  <si>
    <t>angela.lobo@upme.gov.co</t>
  </si>
  <si>
    <t>EDWIN ANDRÉS GARCÍA AMAYA</t>
  </si>
  <si>
    <t>DIRECTA 007-2025</t>
  </si>
  <si>
    <t>150-55</t>
  </si>
  <si>
    <t>MASCULINO</t>
  </si>
  <si>
    <t>NUEVA EPS</t>
  </si>
  <si>
    <t>NEIVA</t>
  </si>
  <si>
    <t>edwin.garcia@upme.gov.co</t>
  </si>
  <si>
    <t>andres.garcia-90@hotmail.com</t>
  </si>
  <si>
    <t>https://www1.funcionpublica.gov.co/web/sigep2/hdv/-/directorio/S2415473-0880-5/view</t>
  </si>
  <si>
    <t>https://community.secop.gov.co/Public/Tendering/ContractNoticePhases/View?PPI=CO1.PPI.36544538&amp;isFromPublicArea=True&amp;isModal=False</t>
  </si>
  <si>
    <t>E.T.</t>
  </si>
  <si>
    <t>HINCAPIE</t>
  </si>
  <si>
    <t>DIRECTA 008-2025</t>
  </si>
  <si>
    <t>100-3</t>
  </si>
  <si>
    <t>Prestar servicios profesionales para apoyar los procesos contractuales de la
 entidad, en especial aquellos necesarios en aras de contribuir a la aplicación de la
 metodología de enfoque territorial de la UPME</t>
  </si>
  <si>
    <t>BOGOTA D.C</t>
  </si>
  <si>
    <t>diana.armenta@upme.gov.co</t>
  </si>
  <si>
    <t xml:space="preserve">	dicaro_16_@hotmail.com</t>
  </si>
  <si>
    <t>https://www1.funcionpublica.gov.co/web/sigep2/hdv/-/directorio/S468056-0880-5/view</t>
  </si>
  <si>
    <t>https://community.secop.gov.co/Public/Tendering/ContractNoticePhases/View?PPI=CO1.PPI.36542731&amp;isFromPublicArea=True&amp;isModal=False</t>
  </si>
  <si>
    <t>ANDREA</t>
  </si>
  <si>
    <t>DIRECTA 009-2025</t>
  </si>
  <si>
    <t>161-2</t>
  </si>
  <si>
    <t>roberto.hernandez@upme.gov.co</t>
  </si>
  <si>
    <t>robertoj.hernandezd@gmail.com</t>
  </si>
  <si>
    <t>https://www1.funcionpublica.gov.co/web/sigep2/hdv/-/directorio/S2324971-0880-5/view</t>
  </si>
  <si>
    <t>linda.mondragon@upme.gov.co</t>
  </si>
  <si>
    <t>DIRECTA 010-2025</t>
  </si>
  <si>
    <t>100-52</t>
  </si>
  <si>
    <t>PASTO</t>
  </si>
  <si>
    <t>johana.bastidas@upme.gov.co</t>
  </si>
  <si>
    <t>karitto.66@gmail.com</t>
  </si>
  <si>
    <t>https://www1.funcionpublica.gov.co/web/sigep2/hdv/-/directorio/S3184385-0880-5/view</t>
  </si>
  <si>
    <t>https://community.secop.gov.co/Public/Tendering/ContractNoticePhases/View?PPI=CO1.PPI.36548225&amp;isFromPublicArea=True&amp;isModal=False</t>
  </si>
  <si>
    <t>maximiliano.bueno@upme.gov.co</t>
  </si>
  <si>
    <t>DIRECTA 011-2025</t>
  </si>
  <si>
    <t>FAMISANAR</t>
  </si>
  <si>
    <t>juan.beltran@upme.gov.co</t>
  </si>
  <si>
    <t>juandbeltranh@gmail.com</t>
  </si>
  <si>
    <t>https://www1.funcionpublica.gov.co/web/sigep2/hdv/-/directorio/S482451-0880-5/view</t>
  </si>
  <si>
    <t>https://community.secop.gov.co/Public/Tendering/ContractNoticePhases/View?PPI=CO1.PPI.36536704&amp;isFromPublicArea=True&amp;isModal=False</t>
  </si>
  <si>
    <t>INGRID GARZON GARZON</t>
  </si>
  <si>
    <t>ingrid.garzon@upme.gov.co</t>
  </si>
  <si>
    <t>S.M.</t>
  </si>
  <si>
    <t>08/01/2025
09/01/2025</t>
  </si>
  <si>
    <t>20251400001423
20251400001793</t>
  </si>
  <si>
    <t>DIRECTA 012-2025</t>
  </si>
  <si>
    <t>angie.pineros@upme.gov.co</t>
  </si>
  <si>
    <t>Carolipineros@hotmail.com</t>
  </si>
  <si>
    <t>https://www1.funcionpublica.gov.co/web/sigep2/hdv/-/directorio/S2799525-0880-5/view</t>
  </si>
  <si>
    <t>https://community.secop.gov.co/Public/Tendering/ContractNoticePhases/View?PPI=CO1.PPI.36544865&amp;isFromPublicArea=True&amp;isModal=False</t>
  </si>
  <si>
    <t>alexandra.herrera@upme.gov.co</t>
  </si>
  <si>
    <t>2025114140000017E</t>
  </si>
  <si>
    <t>DIRECTA 013-2025</t>
  </si>
  <si>
    <t>100-29</t>
  </si>
  <si>
    <t>norma.tirado@upme.gov.co</t>
  </si>
  <si>
    <t>norma.tirado@gmail.com</t>
  </si>
  <si>
    <t>https://www1.funcionpublica.gov.co/web/sigep2/hdv/-/directorio/S2325312-0880-5/view</t>
  </si>
  <si>
    <t>https://community.secop.gov.co/Public/Tendering/ContractNoticePhases/View?PPI=CO1.PPI.36547262&amp;isFromPublicArea=True&amp;isModal=False</t>
  </si>
  <si>
    <t>DIRECTA 014-2025</t>
  </si>
  <si>
    <t>brayan.bautista@upme.gov.co</t>
  </si>
  <si>
    <t>brayan-62@hotmail.com</t>
  </si>
  <si>
    <t>https://www1.funcionpublica.gov.co/web/sigep2/hdv/-/directorio/S4865807-0880-5/view</t>
  </si>
  <si>
    <t>https://community.secop.gov.co/Public/Tendering/ContractNoticePhases/View?PPI=CO1.PPI.36542798&amp;isFromPublicArea=True&amp;isModal=False</t>
  </si>
  <si>
    <t>maria.bermudez@upme.gov.co</t>
  </si>
  <si>
    <t>O.A.P.</t>
  </si>
  <si>
    <t>DIRECTA 015-2025</t>
  </si>
  <si>
    <t>BOGOTA D.C.</t>
  </si>
  <si>
    <t>adriana.munar@upme.gov.co</t>
  </si>
  <si>
    <t>adrianakmunara@gmail.com</t>
  </si>
  <si>
    <t>https://www1.funcionpublica.gov.co/web/sigep2/hdv/-/directorio/S3033787-0880-5/view</t>
  </si>
  <si>
    <t>https://community.secop.gov.co/Public/Tendering/ContractNoticePhases/View?PPI=CO1.PPI.36540979&amp;isFromPublicArea=True&amp;isModal=False</t>
  </si>
  <si>
    <t>oliver.quintero@upme.gov.co</t>
  </si>
  <si>
    <t>DIRECTA 016-2025</t>
  </si>
  <si>
    <t>130-15</t>
  </si>
  <si>
    <t>COLMENA</t>
  </si>
  <si>
    <t>daniela.avila@upme.gov.co</t>
  </si>
  <si>
    <t>daniela.avilam07@hotmail.com</t>
  </si>
  <si>
    <t>https://www1.funcionpublica.gov.co/web/sigep2/hdv/-/directorio/S5006093-0880-5/view</t>
  </si>
  <si>
    <t>https://community.secop.gov.co/Public/Tendering/ContractNoticePhases/View?PPI=CO1.PPI.36562335&amp;isFromPublicArea=True&amp;isModal=False</t>
  </si>
  <si>
    <t>eric.vargas@upme.gov.co</t>
  </si>
  <si>
    <t>MARIA PAULA NIÑO GUARÍN</t>
  </si>
  <si>
    <t>DIRECTA 017-2025</t>
  </si>
  <si>
    <t>110-9, 110-10</t>
  </si>
  <si>
    <t>BUCARAMANGA</t>
  </si>
  <si>
    <t>maria.nino@upme.gov.co</t>
  </si>
  <si>
    <t>mariaguarin_01@hotmail.com</t>
  </si>
  <si>
    <t>https://www1.funcionpublica.gov.co/web/sigep2/hdv/-/directorio/S4808985-0880-5/view</t>
  </si>
  <si>
    <t xml:space="preserve">https://community.secop.gov.co/Public/Tendering/ContractNoticePhases/View?PPI=CO1.PPI.36555644&amp;isFromPublicArea=True&amp;isModal=False
</t>
  </si>
  <si>
    <t>ruben.gallego@upme.gov.co</t>
  </si>
  <si>
    <t>MAGNERY EDITH VARGAS</t>
  </si>
  <si>
    <t>DIRECTA 018-2025</t>
  </si>
  <si>
    <t>111-32</t>
  </si>
  <si>
    <t>magnery.vargas@upme.gov.co</t>
  </si>
  <si>
    <t>magneryvargasm@hotmail.com</t>
  </si>
  <si>
    <t>$29.747.840</t>
  </si>
  <si>
    <t>https://www1.funcionpublica.gov.co/web/sigep2/hdv/-/directorio/S1665004-0880-5/view</t>
  </si>
  <si>
    <t>https://community.secop.gov.co/Public/Tendering/ContractNoticePhases/View?PPI=CO1.PPI.36575341&amp;isFromPublicArea=True&amp;isModal=False</t>
  </si>
  <si>
    <t>jenny.pena@upme.gov.co</t>
  </si>
  <si>
    <t>S.H.</t>
  </si>
  <si>
    <t>DIRECTA 019-2025.</t>
  </si>
  <si>
    <t>170-4</t>
  </si>
  <si>
    <t>alexandra.cortes@upme.gov.co</t>
  </si>
  <si>
    <t>sialexandra777@gmail.com</t>
  </si>
  <si>
    <t>https://www1.funcionpublica.gov.co/web/sigep2/hdv/-/directorio/S486327-0880-5/view</t>
  </si>
  <si>
    <t>https://community.secop.gov.co/Public/Tendering/ContractNoticePhases/View?PPI=CO1.PPI.36567152&amp;isFromPublicArea=True&amp;isModal=False</t>
  </si>
  <si>
    <t>mauricio.palma@upme.gov.co</t>
  </si>
  <si>
    <t>DIRECTA 020-2025</t>
  </si>
  <si>
    <t>140-2</t>
  </si>
  <si>
    <t>sergio.sanchez@upme.gov.co</t>
  </si>
  <si>
    <t>gio6408@gmail.com</t>
  </si>
  <si>
    <t>$26.000.000</t>
  </si>
  <si>
    <t>https://www1.funcionpublica.gov.co/web/sigep2/hdv/-/directorio/S1072734-0880-5/view</t>
  </si>
  <si>
    <t>https://community.secop.gov.co/Public/Tendering/ContractNoticePhases/View?PPI=CO1.PPI.36567195&amp;isFromPublicArea=True&amp;isModal=False</t>
  </si>
  <si>
    <t>DIRECTA 021-2025</t>
  </si>
  <si>
    <t>161-28</t>
  </si>
  <si>
    <t>DUITAMA - BOYACA</t>
  </si>
  <si>
    <t>catalina.castillo@upme.gov.co</t>
  </si>
  <si>
    <t>catalinaverdugo1506@gmail.com</t>
  </si>
  <si>
    <t>https://www1.funcionpublica.gov.co/web/sigep2/hdv/-/directorio/S319511-0880-5/view</t>
  </si>
  <si>
    <t>https://community.secop.gov.co/Public/Tendering/ContractNoticePhases/View?PPI=CO1.PPI.36556148&amp;isFromPublicArea=True&amp;isModal=False</t>
  </si>
  <si>
    <t>ingrid.quiroga@upme.gov.co</t>
  </si>
  <si>
    <t>DIRECTA 022-2025</t>
  </si>
  <si>
    <t>161-18</t>
  </si>
  <si>
    <t>andres.morales@upme.gov.co</t>
  </si>
  <si>
    <t>asmoralesr18@gmail.com</t>
  </si>
  <si>
    <t>https://www1.funcionpublica.gov.co/web/sigep2/hdv/-/directorio/S4863668-0880-5/view</t>
  </si>
  <si>
    <t>https://community.secop.gov.co/Public/Tendering/ContractNoticePhases/View?PPI=CO1.PPI.36556199&amp;isFromPublicArea=True&amp;isModal=False</t>
  </si>
  <si>
    <t>hector.herrera@upme.gov.co</t>
  </si>
  <si>
    <t>DIRECTA 023-2025</t>
  </si>
  <si>
    <t>stefanny.bermudez@upme.gov.co</t>
  </si>
  <si>
    <t>StefannyBermudez@gmail.com</t>
  </si>
  <si>
    <t>https://www1.funcionpublica.gov.co/web/sigep2/hdv/-/directorio/S4649840-0880-5/view</t>
  </si>
  <si>
    <t>https://community.secop.gov.co/Public/Tendering/ContractNoticePhases/View?PPI=CO1.PPI.36557644&amp;isFromPublicArea=True&amp;isModal=False</t>
  </si>
  <si>
    <t>johana.vargas@upme.gov.co</t>
  </si>
  <si>
    <t>LAURA S.</t>
  </si>
  <si>
    <t>DIRECTA 024-2025</t>
  </si>
  <si>
    <t>150-16</t>
  </si>
  <si>
    <t>diana.paramo@upme.gov.co</t>
  </si>
  <si>
    <t>dianaparamo.17@gmail.com</t>
  </si>
  <si>
    <t>https://www1.funcionpublica.gov.co/web/sigep2/hdv/-/directorio/S167954-0880-5/view</t>
  </si>
  <si>
    <t>https://community.secop.gov.co/Public/Tendering/ContractNoticePhases/View?PPI=CO1.PPI.36559224&amp;isFromPublicArea=True&amp;isModal=False</t>
  </si>
  <si>
    <t>diana.montana@upme.gov.co</t>
  </si>
  <si>
    <t>DIRECTA 025-2025</t>
  </si>
  <si>
    <t>karen.rodriguez@upme.gov.co</t>
  </si>
  <si>
    <t>kjulieth0609@gmail.com</t>
  </si>
  <si>
    <t>https://www1.funcionpublica.gov.co/web/sigep2/hdv/-/directorio/S2333720-0880-5/view</t>
  </si>
  <si>
    <t xml:space="preserve">https://community.secop.gov.co/Public/Tendering/ContractNoticePhases/View?PPI=CO1.PPI.36557344&amp;isFromPublicArea=True&amp;isModal=False
</t>
  </si>
  <si>
    <t>DIRECTA 026-2025</t>
  </si>
  <si>
    <t>101-13</t>
  </si>
  <si>
    <t>COLFONDOS</t>
  </si>
  <si>
    <t>diana.bohorquez@upme.gov.co</t>
  </si>
  <si>
    <t>dianacarolinabohorquezgil9@gmail.com</t>
  </si>
  <si>
    <t>https://www1.funcionpublica.gov.co/web/sigep2/hdv/-/directorio/S4807438-0880-5/view</t>
  </si>
  <si>
    <t>https://community.secop.gov.co/Public/Tendering/ContractNoticePhases/View?PPI=CO1.PPI.36560023&amp;isFromPublicArea=True&amp;isModal=False</t>
  </si>
  <si>
    <t>DIRECTA 027-2025</t>
  </si>
  <si>
    <t>101-1</t>
  </si>
  <si>
    <t>jennyfer.fernandez@upme.gov.co</t>
  </si>
  <si>
    <t xml:space="preserve">	jerofega_27@hotmail.com</t>
  </si>
  <si>
    <t>https://www1.funcionpublica.gov.co/web/sigep2/hdv/-/directorio/S1593897-0880-5/view</t>
  </si>
  <si>
    <t>https://community.secop.gov.co/Public/Tendering/ContractNoticePhases/View?PPI=CO1.PPI.36563149&amp;isFromPublicArea=True&amp;isModal=False</t>
  </si>
  <si>
    <t>viviana.murcia@upme.gov.co</t>
  </si>
  <si>
    <t>ADRIAN CAMILO CORTES VILLADA</t>
  </si>
  <si>
    <t>DIRECTA 028-2025</t>
  </si>
  <si>
    <t>161-5</t>
  </si>
  <si>
    <t>PEREIRA - RISARALDA</t>
  </si>
  <si>
    <t>adrian.cortes@upme.gov.co</t>
  </si>
  <si>
    <t>camilincortes@hotmail.com</t>
  </si>
  <si>
    <t>ok</t>
  </si>
  <si>
    <t>https://community.secop.gov.co/Public/Tendering/ContractNoticePhases/View?PPI=CO1.PPI.36557066&amp;isFromPublicArea=True&amp;isModal=False</t>
  </si>
  <si>
    <t>william.martinez@upme.gov.co</t>
  </si>
  <si>
    <t>JUAN MANUEL ZUÑIGA BOLAÑOS</t>
  </si>
  <si>
    <t>DIRECTA 029-2025</t>
  </si>
  <si>
    <t>131-38</t>
  </si>
  <si>
    <t>CALI-VALLE</t>
  </si>
  <si>
    <t>juan.zuniga@upme.gov.co</t>
  </si>
  <si>
    <t>jz.manuel@gmail.com</t>
  </si>
  <si>
    <t>https://community.secop.gov.co/Public/Tendering/ContractNoticePhases/View?PPI=CO1.PPI.36561679&amp;isFromPublicArea=True&amp;isModal=False</t>
  </si>
  <si>
    <t>alejandro.barrios@upme.gov.co</t>
  </si>
  <si>
    <t>O.G.P.F.</t>
  </si>
  <si>
    <t>DIRECTA 030-2025</t>
  </si>
  <si>
    <t>180-7</t>
  </si>
  <si>
    <t>FUNZA-CUNDINAMARCA</t>
  </si>
  <si>
    <t>david.pena@upme.gov.co</t>
  </si>
  <si>
    <t>davidl.penag@gmail.com</t>
  </si>
  <si>
    <t>https://community.secop.gov.co/Public/Tendering/ContractNoticePhases/View?PPI=CO1.PPI.36565227&amp;isFromPublicArea=True&amp;isModal=False</t>
  </si>
  <si>
    <t>DIRECTA 031-2025</t>
  </si>
  <si>
    <t>161-53</t>
  </si>
  <si>
    <t>ADMINISTRADOR FINANCIERO Y DE SISTEMAS</t>
  </si>
  <si>
    <t>andrea.gutierrez@upme.gov.co</t>
  </si>
  <si>
    <t>aygutierrez@gmail.com</t>
  </si>
  <si>
    <t>https://community.secop.gov.co/Public/Tendering/ContractNoticePhases/View?PPI=CO1.PPI.36561985&amp;isFromPublicArea=True&amp;isModal=False</t>
  </si>
  <si>
    <t>sandra.alvarez@upme.gov.co</t>
  </si>
  <si>
    <t>DIRECTA 032-2025</t>
  </si>
  <si>
    <t>161-50</t>
  </si>
  <si>
    <t>CONCEPCION- SANTANDER</t>
  </si>
  <si>
    <t>dario.santiesteban@upme.gov.co</t>
  </si>
  <si>
    <t>dariosanti@hotmail.com</t>
  </si>
  <si>
    <t>https://community.secop.gov.co/Public/Tendering/ContractNoticePhases/View?PPI=CO1.PPI.36563994&amp;isFromPublicArea=True&amp;isModal=False</t>
  </si>
  <si>
    <t>hollman.corredor@upme.gov.co</t>
  </si>
  <si>
    <t>DIRECTA 033-2025</t>
  </si>
  <si>
    <t>131-40</t>
  </si>
  <si>
    <t>BARRANCABERMEJA - SANTANDER</t>
  </si>
  <si>
    <t>aura.bermudez@upme.gov.co</t>
  </si>
  <si>
    <t>bersanau70@hotmail.com</t>
  </si>
  <si>
    <t>https://community.secop.gov.co/Public/Tendering/ContractNoticePhases/View?PPI=CO1.PPI.36572977&amp;isFromPublicArea=True&amp;isModal=False</t>
  </si>
  <si>
    <t>DIRECTA 034-2025</t>
  </si>
  <si>
    <t>150-14</t>
  </si>
  <si>
    <t>VILLAVICENCIO-META</t>
  </si>
  <si>
    <t>adrian.gutierrez@upme.gov.co</t>
  </si>
  <si>
    <t xml:space="preserve">	adriangutierrez23huertas@outlook.com</t>
  </si>
  <si>
    <t>https://community.secop.gov.co/Public/Tendering/ContractNoticePhases/View?PPI=CO1.PPI.36575876&amp;isFromPublicArea=True&amp;isModal=False</t>
  </si>
  <si>
    <t>jorge.zuluaga@upme.gov.co</t>
  </si>
  <si>
    <t>O.A.J.</t>
  </si>
  <si>
    <t>DIRECTA 035-2025</t>
  </si>
  <si>
    <t>150-6</t>
  </si>
  <si>
    <t>VILLAVICENCIO - META</t>
  </si>
  <si>
    <t>paola.torres@upme.gov.co</t>
  </si>
  <si>
    <t xml:space="preserve">	tpaola621@gmail.com</t>
  </si>
  <si>
    <t>https://community.secop.gov.co/Public/Tendering/ContractNoticePhases/View?PPI=CO1.PPI.36576295&amp;isFromPublicArea=True&amp;isModal=False</t>
  </si>
  <si>
    <t>yenny.barrera@upme.gov.co</t>
  </si>
  <si>
    <t>O.T.I.</t>
  </si>
  <si>
    <t>DIRECTA 036-2025</t>
  </si>
  <si>
    <t>130-7</t>
  </si>
  <si>
    <t>COTA - CUNDINAMARCA</t>
  </si>
  <si>
    <t>edisson.velasquez@upme.gov.co</t>
  </si>
  <si>
    <t xml:space="preserve">	edison.velasquezr@gmail.com</t>
  </si>
  <si>
    <t>https://community.secop.gov.co/Public/Tendering/ContractNoticePhases/View?PPI=CO1.PPI.36577218&amp;isFromPublicArea=True&amp;isModal=False</t>
  </si>
  <si>
    <t>jairo.riano@upme.gov.co</t>
  </si>
  <si>
    <t>NIT-CON DIGITO V</t>
  </si>
  <si>
    <t>DIRECTA 037-2025</t>
  </si>
  <si>
    <t>130-28</t>
  </si>
  <si>
    <t>#VALUE!</t>
  </si>
  <si>
    <t>ofertas@infometrika.com</t>
  </si>
  <si>
    <t>---</t>
  </si>
  <si>
    <t>https://community.secop.gov.co/Public/Tendering/ContractNoticePhases/View?PPI=CO1.PPI.36629279&amp;isFromPublicArea=True&amp;isModal=False</t>
  </si>
  <si>
    <t>20251130002603
20251130002723</t>
  </si>
  <si>
    <t>DIRECTA 038-2025</t>
  </si>
  <si>
    <t>110-12/110-13</t>
  </si>
  <si>
    <t>IBAGUE - TOLIMA</t>
  </si>
  <si>
    <t>cristian.bedoya@upme.gov.co</t>
  </si>
  <si>
    <t>cebedoyag25@gmail.com</t>
  </si>
  <si>
    <t>https://community.secop.gov.co/Public/Tendering/ContractNoticePhases/View?PPI=CO1.PPI.36620409&amp;isFromPublicArea=True&amp;isModal=False</t>
  </si>
  <si>
    <t>liliana.castillo@upme.gov.co</t>
  </si>
  <si>
    <t>CO1.PCCNTR.7228789</t>
  </si>
  <si>
    <t>CEDULA EXTRANJERIA</t>
  </si>
  <si>
    <t>DIRECTA 039-2025</t>
  </si>
  <si>
    <t>140-3</t>
  </si>
  <si>
    <t>MEXICO</t>
  </si>
  <si>
    <t>jovana.negrete@upme.gov.co</t>
  </si>
  <si>
    <t>negrete.arch@gmail.com</t>
  </si>
  <si>
    <t>https://community.secop.gov.co/Public/Tendering/ContractNoticePhases/View?PPI=CO1.PPI.36624402&amp;isFromPublicArea=True&amp;isModal=False</t>
  </si>
  <si>
    <t>DIRECTA 040-2025</t>
  </si>
  <si>
    <t>110-8</t>
  </si>
  <si>
    <t>CHILE</t>
  </si>
  <si>
    <t>gladys.burgos@upme.gov.co</t>
  </si>
  <si>
    <t>nelitaburgos@hotmail.com</t>
  </si>
  <si>
    <t>https://community.secop.gov.co/Public/Tendering/ContractNoticePhases/View?PPI=CO1.PPI.36619072&amp;isFromPublicArea=True&amp;isModal=False</t>
  </si>
  <si>
    <t>DIRECTA 041-2025</t>
  </si>
  <si>
    <t>161-23</t>
  </si>
  <si>
    <t>BOGOTÁ</t>
  </si>
  <si>
    <t>monica.rueda@upme.gov.co</t>
  </si>
  <si>
    <t>momaruve@hotmail.com</t>
  </si>
  <si>
    <t>https://community.secop.gov.co/Public/Tendering/ContractNoticePhases/View?PPI=CO1.PPI.36616079&amp;isFromPublicArea=True&amp;isModal=False</t>
  </si>
  <si>
    <t>ruth.navas@upme.gov.co</t>
  </si>
  <si>
    <t>DIRECTA 042-2025</t>
  </si>
  <si>
    <t>161-1</t>
  </si>
  <si>
    <t>SAN FRANCISCO</t>
  </si>
  <si>
    <t>wilman.ramirez@upme.gov.co</t>
  </si>
  <si>
    <t>andrurc@hotmail.com</t>
  </si>
  <si>
    <t>https://community.secop.gov.co/Public/Tendering/ContractNoticePhases/View?PPI=CO1.PPI.36617805&amp;isFromPublicArea=True&amp;isModal=False</t>
  </si>
  <si>
    <t>DIRECTA 043-2025</t>
  </si>
  <si>
    <t>161-7</t>
  </si>
  <si>
    <t>PEREIRA</t>
  </si>
  <si>
    <t>juan.castano@upme.gov.co</t>
  </si>
  <si>
    <t>juanjocastg@gmail.com</t>
  </si>
  <si>
    <t>https://community.secop.gov.co/Public/Tendering/ContractNoticePhases/View?PPI=CO1.PPI.36617891&amp;isFromPublicArea=True&amp;isModal=False</t>
  </si>
  <si>
    <t>20251400002783
20251400003083</t>
  </si>
  <si>
    <t>13/01/2025
14/01/2025</t>
  </si>
  <si>
    <t>DIRECTA 044-2025</t>
  </si>
  <si>
    <t>140-11</t>
  </si>
  <si>
    <t>PAZ DE RIO-BOYACA</t>
  </si>
  <si>
    <t>carlos.cristiano@upme.gov.co</t>
  </si>
  <si>
    <t>ccristbo@gmail.com</t>
  </si>
  <si>
    <t>https://community.secop.gov.co/Public/Tendering/ContractNoticePhases/View?PPI=CO1.PPI.36648518&amp;isFromPublicArea=True&amp;isModal=False</t>
  </si>
  <si>
    <t>T.H.</t>
  </si>
  <si>
    <t>DIRECTA 045-2025</t>
  </si>
  <si>
    <t>110-6</t>
  </si>
  <si>
    <t>paola.garcia@upme.gov.co</t>
  </si>
  <si>
    <t>paolaandreagarciarueda@gmail.com</t>
  </si>
  <si>
    <t>https://community.secop.gov.co/Public/Tendering/ContractNoticePhases/View?PPI=CO1.PPI.36641591&amp;isFromPublicArea=True&amp;isModal=False</t>
  </si>
  <si>
    <t>DIRECTA 046-2025</t>
  </si>
  <si>
    <t>160-5</t>
  </si>
  <si>
    <t>david.serrato@upme.gov.co</t>
  </si>
  <si>
    <t>davcelot@gmail.com</t>
  </si>
  <si>
    <t>https://community.secop.gov.co/Public/Tendering/ContractNoticePhases/View?PPI=CO1.PPI.36644095&amp;isFromPublicArea=True&amp;isModal=False</t>
  </si>
  <si>
    <t>DIRECTA 047-2025</t>
  </si>
  <si>
    <t>160-9</t>
  </si>
  <si>
    <t>erika.florez@upme.gov.co</t>
  </si>
  <si>
    <t>ejflorezc@hotmail.com</t>
  </si>
  <si>
    <t>PUBLICADO EN FECHA 20/01/2025</t>
  </si>
  <si>
    <t>https://www.secop.gov.co/CO1BusinessLine/Tendering/BuyerWorkArea/Index?docUniqueIdentifier=CO1.BDOS.7321437&amp;prevCtxUrl=https%3a%2f%2fwww.secop.gov.co%2fCO1BusinessLine%2fTendering%2fBuyerDossierWorkspace%2fIndex%3fallWords2Search%3dDIRECTA+047-2025%26createDateFrom%3d20%2f07%2f2024+19%3a05%3a43%26createDateTo%3d20%2f01%2f2025+19%3a05%3a43%26filteringState%3d0%26sortingState%3dLastModifiedDESC%26showAdvancedSearch%3dFalse%26showAdvancedSearchFields%3dFalse%26folderCode%3dALL%26selectedDossier%3dCO1.BDOS.7321437%26selectedRequest%3dCO1.REQ.7457348%26&amp;prevCtxLbl=Procesos+de+la+Entidad+Estatal#:~:text=https%3A//community.secop.gov.co/Public/Tendering/ContractNoticePhases/View%3FPPI%3DCO1.PPI.36642527%26isFromPublicArea%3DTrue%26isModal%3DFalse</t>
  </si>
  <si>
    <t>olga.gonzalez@upme.gov.co</t>
  </si>
  <si>
    <t>DIRECTA 048-2025</t>
  </si>
  <si>
    <t>160-3</t>
  </si>
  <si>
    <t>SKANIDA</t>
  </si>
  <si>
    <t>veronica.ortiz@upme.gov.co</t>
  </si>
  <si>
    <t>verocero@gmail.com</t>
  </si>
  <si>
    <t>https://community.secop.gov.co/Public/Tendering/ContractNoticePhases/View?PPI=CO1.PPI.36642527&amp;isFromPublicArea=True&amp;isModal=False</t>
  </si>
  <si>
    <t>DIRECTA 049-2025</t>
  </si>
  <si>
    <t>161-40</t>
  </si>
  <si>
    <t>SALVIA SALUD</t>
  </si>
  <si>
    <t>BARBOSA-ANTIOQUIA</t>
  </si>
  <si>
    <t>juan.arbelaez@upme.gov.co</t>
  </si>
  <si>
    <t>JDAR1965@gmail.com</t>
  </si>
  <si>
    <t>https://community.secop.gov.co/Public/Tendering/ContractNoticePhases/View?PPI=CO1.PPI.36640314&amp;isFromPublicArea=True&amp;isModal=False</t>
  </si>
  <si>
    <t>DIRECTA 050-2025</t>
  </si>
  <si>
    <t>130-8</t>
  </si>
  <si>
    <t>MOSQUERA-CUNDINAMARCA</t>
  </si>
  <si>
    <t>estefany.cajamarca@upme.gov.co</t>
  </si>
  <si>
    <t>estefanyc446@gmail.com</t>
  </si>
  <si>
    <t>https://community.secop.gov.co/Public/Tendering/ContractNoticePhases/View?PPI=CO1.PPI.36697591&amp;isFromPublicArea=True&amp;isModal=False</t>
  </si>
  <si>
    <t>DIRECTA 051-2025</t>
  </si>
  <si>
    <t>130-2</t>
  </si>
  <si>
    <t>MARACAIBO</t>
  </si>
  <si>
    <t>hendrix.suarez@upme.gov.co</t>
  </si>
  <si>
    <t>hendrixsuarez@gmail.com</t>
  </si>
  <si>
    <t>https://community.secop.gov.co/Public/Tendering/ContractNoticePhases/View?PPI=CO1.PPI.36698510&amp;isFromPublicArea=True&amp;isModal=False</t>
  </si>
  <si>
    <t>gustavo.baquero@upme.gov.co</t>
  </si>
  <si>
    <t>DIRECTA 052-2025</t>
  </si>
  <si>
    <t>100-30</t>
  </si>
  <si>
    <t>christian.vargas@upme.gov.co</t>
  </si>
  <si>
    <t>camilovargas86@gmail.com</t>
  </si>
  <si>
    <t>PUBLICADO EN FECHA 24/01/2024</t>
  </si>
  <si>
    <t>https://community.secop.gov.co/Public/Tendering/ContractNoticePhases/View?PPI=CO1.PPI.36641485&amp;isFromPublicArea=True&amp;isModal=False</t>
  </si>
  <si>
    <t>DIRECTA 053-2025</t>
  </si>
  <si>
    <t>150-49</t>
  </si>
  <si>
    <t>brandon.huaca@upme.gov.co</t>
  </si>
  <si>
    <t>brandon.huaca.94@gmail.com</t>
  </si>
  <si>
    <t>https://community.secop.gov.co/Public/Tendering/ContractNoticePhases/View?PPI=CO1.PPI.36645480&amp;isFromPublicArea=True&amp;isModal=False</t>
  </si>
  <si>
    <t>OSCAR PARRA</t>
  </si>
  <si>
    <t>oscar.parra@upme.gov.co</t>
  </si>
  <si>
    <t>DIRECTA 054-2025</t>
  </si>
  <si>
    <t>150-28</t>
  </si>
  <si>
    <t>BUCARAMANGA - SANTANDER</t>
  </si>
  <si>
    <t>aura.leon@upme.gov.co</t>
  </si>
  <si>
    <t>auraleons@gmail.com</t>
  </si>
  <si>
    <t>https://community.secop.gov.co/Public/Tendering/ContractNoticePhases/View?PPI=CO1.PPI.36646202&amp;isFromPublicArea=True&amp;isModal=False</t>
  </si>
  <si>
    <t>david.murcia@upme.gov.co</t>
  </si>
  <si>
    <t>DIRECTA 055-2025</t>
  </si>
  <si>
    <t>160-4</t>
  </si>
  <si>
    <t>CHIQUINQIRA-BOYACA</t>
  </si>
  <si>
    <t>bolivar.monroy@upme.gov.co</t>
  </si>
  <si>
    <t>bolivaramonroym@gmail.com</t>
  </si>
  <si>
    <t>PUBLICADO EN FECHA 24/12/2025</t>
  </si>
  <si>
    <t>https://community.secop.gov.co/Public/Tendering/ContractNoticePhases/View?PPI=CO1.PPI.36645057&amp;isFromPublicArea=True&amp;isModal=False</t>
  </si>
  <si>
    <t>DIRECTA 056-2025</t>
  </si>
  <si>
    <t>150-3</t>
  </si>
  <si>
    <t>CIRCASIA-QUINDIO</t>
  </si>
  <si>
    <t>jorge.guevara@upme.gov.co</t>
  </si>
  <si>
    <t>jorgemguevarag@gmail.com</t>
  </si>
  <si>
    <t>https://community.secop.gov.co/Public/Tendering/ContractNoticePhases/View?PPI=CO1.PPI.36646923&amp;isFromPublicArea=True&amp;isModal=False</t>
  </si>
  <si>
    <t>DIRECTA 057-2025</t>
  </si>
  <si>
    <t>131-18</t>
  </si>
  <si>
    <t>nubia.estupinan@upme.gov.co</t>
  </si>
  <si>
    <t>nubiamarina@gmail.com</t>
  </si>
  <si>
    <t>https://community.secop.gov.co/Public/Tendering/ContractNoticePhases/View?PPI=CO1.PPI.36651887&amp;isFromPublicArea=True&amp;isModal=False</t>
  </si>
  <si>
    <t>yezmy.vargas@upme.gov.co</t>
  </si>
  <si>
    <t>Comunicaciones</t>
  </si>
  <si>
    <t>DIRECTA 058-2025</t>
  </si>
  <si>
    <t>131-46</t>
  </si>
  <si>
    <t>Prestación de servicios profesionales de estructuración gráfica de
 documentos, diseño digital, presentaciones de diversa índole que sean
 requeridos por el área de comunicaciones.</t>
  </si>
  <si>
    <t>juan.caceres@upme.gov.co</t>
  </si>
  <si>
    <t>juancdocumentos3@gmail.com</t>
  </si>
  <si>
    <t>https://community.secop.gov.co/Public/Tendering/ContractNoticePhases/View?PPI=CO1.PPI.36653080&amp;isFromPublicArea=True&amp;isModal=False</t>
  </si>
  <si>
    <t>jeimmy.posos@upme.gov.co</t>
  </si>
  <si>
    <t>DIRECTA 059-2025</t>
  </si>
  <si>
    <t>161-27</t>
  </si>
  <si>
    <t>NEIVA-HUILA</t>
  </si>
  <si>
    <t>luis.zarrate@upme.gov.co</t>
  </si>
  <si>
    <t>ingabriel.zarrate@gmail.com</t>
  </si>
  <si>
    <t>https://community.secop.gov.co/Public/Tendering/ContractNoticePhases/View?PPI=CO1.PPI.36647957&amp;isFromPublicArea=True&amp;isModal=False</t>
  </si>
  <si>
    <t>INGRID QUIROGA MOJICA</t>
  </si>
  <si>
    <t>DIRECTA 060-2025</t>
  </si>
  <si>
    <t>170-21</t>
  </si>
  <si>
    <t>BOGOTA-CUNDINAMARCA</t>
  </si>
  <si>
    <t>adriana.barrera@upme.gov.co</t>
  </si>
  <si>
    <t>Adr-2611@hotmail.com</t>
  </si>
  <si>
    <t>https://www1.funcionpublica.gov.co/web/sigep2/hdv/-/directorio/S1536815-0880-5/view</t>
  </si>
  <si>
    <t>https://community.secop.gov.co/Public/Tendering/ContractNoticePhases/View?PPI=CO1.PPI.36673111&amp;isFromPublicArea=True&amp;isModal=False</t>
  </si>
  <si>
    <t>DIRECTA 061-2025</t>
  </si>
  <si>
    <t>170-20</t>
  </si>
  <si>
    <t>SKANDIA</t>
  </si>
  <si>
    <t>nashla.gonzalez@upme.gov.co</t>
  </si>
  <si>
    <t>nngcleves@gmail.com</t>
  </si>
  <si>
    <t>https://community.secop.gov.co/Public/Tendering/ContractNoticePhases/View?PPI=CO1.PPI.36673143&amp;isFromPublicArea=True&amp;isModal=False</t>
  </si>
  <si>
    <t>cesar.pineda@upme.gov.co</t>
  </si>
  <si>
    <t>DIRECTA 062-2025</t>
  </si>
  <si>
    <t>110-7</t>
  </si>
  <si>
    <t>CHIQUINQUIRA</t>
  </si>
  <si>
    <t>edgar.vargas@upme.gov.co</t>
  </si>
  <si>
    <t>edgarmmcv@hotmail.com</t>
  </si>
  <si>
    <t>https://community.secop.gov.co/Public/Tendering/ContractNoticePhases/View?PPI=CO1.PPI.36665416&amp;isFromPublicArea=True&amp;isModal=False</t>
  </si>
  <si>
    <t>CATALINA BALLESTEROS SANCHEZ</t>
  </si>
  <si>
    <t>DIRECTA 063-2025</t>
  </si>
  <si>
    <t>111-30</t>
  </si>
  <si>
    <t>catalina.ballesteros@upme.gov.co</t>
  </si>
  <si>
    <t>catalinab9028@gmail.com</t>
  </si>
  <si>
    <t>https://community.secop.gov.co/Public/Tendering/ContractNoticePhases/View?PPI=CO1.PPI.36666936&amp;isFromPublicArea=True&amp;isModal=False</t>
  </si>
  <si>
    <t>DIRECTA 064-2025</t>
  </si>
  <si>
    <t>180-9</t>
  </si>
  <si>
    <t>CUCUTA - NORTE DE SANTANDER</t>
  </si>
  <si>
    <t>liseth.myerston@upme.gov.co</t>
  </si>
  <si>
    <t>lisethmyers@gmail.com</t>
  </si>
  <si>
    <t>https://community.secop.gov.co/Public/Tendering/ContractNoticePhases/View?PPI=CO1.PPI.36673040&amp;isFromPublicArea=True&amp;isModal=False</t>
  </si>
  <si>
    <t>ivandario.gomez@upme.gov.co</t>
  </si>
  <si>
    <t>DIRECTA 065-2025</t>
  </si>
  <si>
    <t>100-31</t>
  </si>
  <si>
    <t>maria.mejia@upme.gov.co</t>
  </si>
  <si>
    <t xml:space="preserve">	macmejiama@unal.edu.co</t>
  </si>
  <si>
    <t>https://community.secop.gov.co/Public/Tendering/ContractNoticePhases/View?PPI=CO1.PPI.36672669&amp;isFromPublicArea=True&amp;isModal=False</t>
  </si>
  <si>
    <t>DIRECTA 066-2025</t>
  </si>
  <si>
    <t>160-8</t>
  </si>
  <si>
    <t>BOGOTA D.C - CUNDINAMARCA</t>
  </si>
  <si>
    <t>INGENIERIA AMBIETAL</t>
  </si>
  <si>
    <t>laura.flechas@upme.gov.co</t>
  </si>
  <si>
    <t>lalu.flechas@gmail.com</t>
  </si>
  <si>
    <t>https://community.secop.gov.co/Public/Tendering/ContractNoticePhases/View?PPI=CO1.PPI.36672592&amp;isFromPublicArea=True&amp;isModal=False</t>
  </si>
  <si>
    <t>20251500003703
20251500004123</t>
  </si>
  <si>
    <t>15/01/2025
16/01/2025</t>
  </si>
  <si>
    <t>DIRECTA 067-2025.</t>
  </si>
  <si>
    <t>150-12 y 170-15</t>
  </si>
  <si>
    <t>MANIZALES -CALDAS</t>
  </si>
  <si>
    <t>kelly.toro@upme.gov.co</t>
  </si>
  <si>
    <t>ktorotoro02@gmail.com</t>
  </si>
  <si>
    <t>https://community.secop.gov.co/Public/Tendering/ContractNoticePhases/View?PPI=CO1.PPI.36703568&amp;isFromPublicArea=True&amp;isModal=False</t>
  </si>
  <si>
    <t>hector.rosero@upme.gov.co</t>
  </si>
  <si>
    <t>DIANA</t>
  </si>
  <si>
    <t>DIRECTA 068-2025</t>
  </si>
  <si>
    <t>100-15 y 100-53</t>
  </si>
  <si>
    <t>karen.giron@upme.gov.co</t>
  </si>
  <si>
    <t>gironkata@hotmail.com</t>
  </si>
  <si>
    <t>https://community.secop.gov.co/Public/Tendering/ContractNoticePhases/View?PPI=CO1.PPI.36702310&amp;isFromPublicArea=True&amp;isModal=False</t>
  </si>
  <si>
    <t>luisa.lopez@upme.gov.co</t>
  </si>
  <si>
    <t>DIRECTA 069-2025</t>
  </si>
  <si>
    <t>131-20/131-21</t>
  </si>
  <si>
    <t>VALLEDUPAR - CESAR</t>
  </si>
  <si>
    <t>aruci.kuaran@upme.gov.co</t>
  </si>
  <si>
    <t>amauriciokuaran@gmail.com</t>
  </si>
  <si>
    <t>https://community.secop.gov.co/Public/Tendering/ContractNoticePhases/View?PPI=CO1.PPI.36695169&amp;isFromPublicArea=True&amp;isModal=False</t>
  </si>
  <si>
    <t>johanna.castellanos@upme.gov.co</t>
  </si>
  <si>
    <t>DIRECTA 070-2025</t>
  </si>
  <si>
    <t>161-41</t>
  </si>
  <si>
    <t>oscar.marquez@upme.gov.co</t>
  </si>
  <si>
    <t>marquez.9513@gmail.com</t>
  </si>
  <si>
    <t>https://community.secop.gov.co/Public/Tendering/ContractNoticePhases/View?PPI=CO1.PPI.36698078&amp;isFromPublicArea=True&amp;isModal=False</t>
  </si>
  <si>
    <t>fredy.jurado@upme.gov.co</t>
  </si>
  <si>
    <t>20251300003743
20251300004113</t>
  </si>
  <si>
    <t>DIRECTA 071-2025</t>
  </si>
  <si>
    <t>130-9</t>
  </si>
  <si>
    <t>sandra.romero@upme.gov.co</t>
  </si>
  <si>
    <t xml:space="preserve">	ing.sromero.vargas@gmail.com</t>
  </si>
  <si>
    <t>https://community.secop.gov.co/Public/Tendering/ContractNoticePhases/View?PPI=CO1.PPI.36732700&amp;isFromPublicArea=True&amp;isModal=False</t>
  </si>
  <si>
    <t>DIRECTA 072-2025</t>
  </si>
  <si>
    <t>130-6</t>
  </si>
  <si>
    <t>NEIVA -HUILA</t>
  </si>
  <si>
    <t>fernando.linares@upme.gov.co</t>
  </si>
  <si>
    <t>flinarescastro@hotmail.com</t>
  </si>
  <si>
    <t>https://community.secop.gov.co/Public/Tendering/ContractNoticePhases/View?PPI=CO1.PPI.36702995&amp;isFromPublicArea=True&amp;isModal=False</t>
  </si>
  <si>
    <t>edgar.perez@upme.gov.co</t>
  </si>
  <si>
    <t>DIRECTA 073-2025</t>
  </si>
  <si>
    <t>180-10</t>
  </si>
  <si>
    <t>olga.ramirez@upme.gov.co</t>
  </si>
  <si>
    <t>oeramirezya@gmail.com</t>
  </si>
  <si>
    <t>https://community.secop.gov.co/Public/Tendering/ContractNoticePhases/View?PPI=CO1.PPI.36706918&amp;isFromPublicArea=True&amp;isModal=False</t>
  </si>
  <si>
    <t>johanna.larrotta@upme.gov.co</t>
  </si>
  <si>
    <t>DIRECTA 074-2025</t>
  </si>
  <si>
    <t>180-14</t>
  </si>
  <si>
    <t>MANIZALEZ- CALDAS</t>
  </si>
  <si>
    <t>sandra.sanchez@upme.gov.co</t>
  </si>
  <si>
    <t>smiles327@gmail.com</t>
  </si>
  <si>
    <t>https://community.secop.gov.co/Public/Tendering/ContractNoticePhases/View?PPI=CO1.PPI.37924980&amp;isFromPublicArea=True&amp;isModal=False</t>
  </si>
  <si>
    <t>luisa.correa@upme.gov.co</t>
  </si>
  <si>
    <t>DIRECTA 075-2025</t>
  </si>
  <si>
    <t>130--10</t>
  </si>
  <si>
    <t>ninroth.espinosa@upme.gov.co</t>
  </si>
  <si>
    <t>NINROTH@gmail.com</t>
  </si>
  <si>
    <t>https://community.secop.gov.co/Public/Tendering/ContractNoticePhases/View?PPI=CO1.PPI.36735418&amp;isFromPublicArea=True&amp;isModal=False</t>
  </si>
  <si>
    <t>DIRECTA 076-2025</t>
  </si>
  <si>
    <t>180-13</t>
  </si>
  <si>
    <t>kevin.ramos@upme.gov.co</t>
  </si>
  <si>
    <t>keramosh@unal.edu.co</t>
  </si>
  <si>
    <t>https://community.secop.gov.co/Public/Tendering/ContractNoticePhases/View?PPI=CO1.PPI.36726716&amp;isFromPublicArea=True&amp;isModal=False</t>
  </si>
  <si>
    <t>cesar.pinzon@upme.gov.co</t>
  </si>
  <si>
    <t>DIRECTA 077-2025</t>
  </si>
  <si>
    <t>150-56; 140-19; 131-13; 101-5; 180-3; 130-17; 170-11; 100-19; 161-47.</t>
  </si>
  <si>
    <t>MACANAL - BOYACA</t>
  </si>
  <si>
    <t>blanca.salgado@upme.gov.co</t>
  </si>
  <si>
    <t>salgadopilis@gmail.com</t>
  </si>
  <si>
    <t xml:space="preserve">https://community.secop.gov.co/Public/Tendering/ContractNoticePhases/View?PPI=CO1.PPI.36718444&amp;isFromPublicArea=True&amp;isModal=False
</t>
  </si>
  <si>
    <t>mauricio.velandia@upme.gov.co</t>
  </si>
  <si>
    <t>DIRECTA 078-2025</t>
  </si>
  <si>
    <t>180_11</t>
  </si>
  <si>
    <t>SOGAMOSO -BOYACA</t>
  </si>
  <si>
    <t>gerardo.tejedor@upme.gov.co</t>
  </si>
  <si>
    <t>inggtejedor@hotmail.com</t>
  </si>
  <si>
    <t xml:space="preserve">https://community.secop.gov.co/Public/Tendering/ContractNoticePhases/View?PPI=CO1.PPI.36724322&amp;isFromPublicArea=True&amp;isModal=False
</t>
  </si>
  <si>
    <t>DIRECTA 079-2025</t>
  </si>
  <si>
    <t>150-57; 140-20; 131-14; 101-6; 180-4; 130-18; 170-12; 100-20; 161-48</t>
  </si>
  <si>
    <t>estefania.aya@upme.gov.co</t>
  </si>
  <si>
    <t>estefania_aya@hotmail.com</t>
  </si>
  <si>
    <t xml:space="preserve">https://community.secop.gov.co/Public/Tendering/ContractNoticePhases/View?PPI=CO1.PPI.36719708&amp;isFromPublicArea=True&amp;isModal=False
</t>
  </si>
  <si>
    <t>3 del 21/01/2025</t>
  </si>
  <si>
    <t>20251110004253
20251110005483</t>
  </si>
  <si>
    <t>DIRECTA 080-2025</t>
  </si>
  <si>
    <t>111-12</t>
  </si>
  <si>
    <t>fr.romero@archivosdelestado.com.co</t>
  </si>
  <si>
    <t xml:space="preserve">https://community.secop.gov.co/Public/Tendering/ContractNoticePhases/View?PPI=CO1.PPI.36832607&amp;isFromPublicArea=True&amp;isModal=False
</t>
  </si>
  <si>
    <t>JOHN FRANCISCO SANCHEZ ANTIA</t>
  </si>
  <si>
    <t>john.sanchez@upme.gov.co</t>
  </si>
  <si>
    <t>2025114140100131E</t>
  </si>
  <si>
    <t>DIRECTA 081-2025</t>
  </si>
  <si>
    <t>180-8</t>
  </si>
  <si>
    <t>PAIPA - BOYACA</t>
  </si>
  <si>
    <t>cesar.sotelo@upme.gov.co</t>
  </si>
  <si>
    <t xml:space="preserve">	cehesosa@gmail.com</t>
  </si>
  <si>
    <t xml:space="preserve">https://community.secop.gov.co/Public/Tendering/ContractNoticePhases/View?PPI=CO1.PPI.36725596&amp;isFromPublicArea=True&amp;isModal=False
</t>
  </si>
  <si>
    <t>oscar.escobar@upme.gov.co</t>
  </si>
  <si>
    <t>830.015.429-2</t>
  </si>
  <si>
    <t>DIRECTA 082-2025</t>
  </si>
  <si>
    <t>111-25</t>
  </si>
  <si>
    <t>yogonzale@colsanitas.com</t>
  </si>
  <si>
    <t xml:space="preserve">https://community.secop.gov.co/Public/Tendering/ContractNoticePhases/View?PPI=CO1.PPI.36743234&amp;isFromPublicArea=True&amp;isModal=False
</t>
  </si>
  <si>
    <t>A.O.J</t>
  </si>
  <si>
    <t>EDWIN</t>
  </si>
  <si>
    <t>DIRECTA 083-2025</t>
  </si>
  <si>
    <t>150-8</t>
  </si>
  <si>
    <t>nancy.vanegas@upme.gov.co</t>
  </si>
  <si>
    <t>yuranyvanegas2@gmail.com</t>
  </si>
  <si>
    <t xml:space="preserve">https://community.secop.gov.co/Public/Tendering/ContractNoticePhases/View?PPI=CO1.PPI.36741932&amp;isFromPublicArea=True&amp;isModal=False
</t>
  </si>
  <si>
    <t>jaime.hincapie@upme.gov.co</t>
  </si>
  <si>
    <t>2025114140100082E</t>
  </si>
  <si>
    <t>130-1</t>
  </si>
  <si>
    <t>jehison.cifuentes@upme.gov.co</t>
  </si>
  <si>
    <t>Jeson28@hotmail.com</t>
  </si>
  <si>
    <t xml:space="preserve">https://community.secop.gov.co/Public/Tendering/ContractNoticePhases/View?PPI=CO1.PPI.36744039&amp;isFromPublicArea=True&amp;isModal=False
</t>
  </si>
  <si>
    <t>DIRECTA 085-2025</t>
  </si>
  <si>
    <t>130-14</t>
  </si>
  <si>
    <t>TUNJA - BOYACA</t>
  </si>
  <si>
    <t>gildardo.vargas@upme.gov.co</t>
  </si>
  <si>
    <t>gavasoft213@gmail.com</t>
  </si>
  <si>
    <t xml:space="preserve">https://community.secop.gov.co/Public/Tendering/ContractNoticePhases/View?PPI=CO1.PPI.36747085&amp;isFromPublicArea=True&amp;isModal=False
</t>
  </si>
  <si>
    <t>claudia.beltran@upme.gov.co</t>
  </si>
  <si>
    <t>DIRECTA 086-2025</t>
  </si>
  <si>
    <t>180-12</t>
  </si>
  <si>
    <t>COOSALUD</t>
  </si>
  <si>
    <t>carlos.acosta@upme.gov.co</t>
  </si>
  <si>
    <t xml:space="preserve">	cacostan@gmail.com</t>
  </si>
  <si>
    <t xml:space="preserve">https://community.secop.gov.co/Public/Tendering/ContractNoticePhases/View?PPI=CO1.PPI.36745328&amp;isFromPublicArea=True&amp;isModal=False
</t>
  </si>
  <si>
    <t>andres.ortiz@upme.gov.co</t>
  </si>
  <si>
    <t>DIRECTA 087-2025</t>
  </si>
  <si>
    <t>111-33</t>
  </si>
  <si>
    <t>edma.real@upme.gov.co</t>
  </si>
  <si>
    <t>maritzareal71@gmail.com</t>
  </si>
  <si>
    <t xml:space="preserve">https://community.secop.gov.co/Public/Tendering/ContractNoticePhases/View?PPI=CO1.PPI.36813764&amp;isFromPublicArea=True&amp;isModal=False
</t>
  </si>
  <si>
    <t>DIRECTA 088-2025</t>
  </si>
  <si>
    <t>111-36</t>
  </si>
  <si>
    <t>paola.gomez@upme.gov.co</t>
  </si>
  <si>
    <t>pagomar@hotmail.com</t>
  </si>
  <si>
    <t xml:space="preserve">https://community.secop.gov.co/Public/Tendering/ContractNoticePhases/View?PPI=CO1.PPI.36820705&amp;isFromPublicArea=True&amp;isModal=False
</t>
  </si>
  <si>
    <t>oscar.mejia@upme.gov.co</t>
  </si>
  <si>
    <t>SECRETARIA GENERAL GIT ADMINISTRATIVO</t>
  </si>
  <si>
    <t>20251120005213
20251120005383</t>
  </si>
  <si>
    <t>DIRECTA 089-2025</t>
  </si>
  <si>
    <t>111-29</t>
  </si>
  <si>
    <t>asdrubal.gonzalez@upme.gov.co</t>
  </si>
  <si>
    <t xml:space="preserve">	agonzalezpuentes@yahoo.com</t>
  </si>
  <si>
    <t xml:space="preserve">https://community.secop.gov.co/Public/Tendering/ContractNoticePhases/View?PPI=CO1.PPI.36819676&amp;isFromPublicArea=True&amp;isModal=False
</t>
  </si>
  <si>
    <t>paola.pino@upme.gov.co</t>
  </si>
  <si>
    <t>DIRECTA 090-2025</t>
  </si>
  <si>
    <t>100-5</t>
  </si>
  <si>
    <t>MEDELLIN ANTIOQUIA</t>
  </si>
  <si>
    <t>catalina.londono@upme.gov.co</t>
  </si>
  <si>
    <t>catalinalondonopa@gmail.com</t>
  </si>
  <si>
    <t xml:space="preserve">https://community.secop.gov.co/Public/Tendering/ContractNoticePhases/View?PPI=CO1.PPI.36836776&amp;isFromPublicArea=True&amp;isModal=False
</t>
  </si>
  <si>
    <t>INGRID VIVIANA GARZON GARZON</t>
  </si>
  <si>
    <t xml:space="preserve">20251000005243
20251000005783
</t>
  </si>
  <si>
    <t>DIRECTA 091-2025</t>
  </si>
  <si>
    <t>100-33</t>
  </si>
  <si>
    <t>juan.sanchez@upme.gov.co</t>
  </si>
  <si>
    <t xml:space="preserve">	jcsanchezs@unal.edu.co</t>
  </si>
  <si>
    <t xml:space="preserve">https://community.secop.gov.co/Public/Tendering/ContractNoticePhases/View?PPI=CO1.PPI.36865779&amp;isFromPublicArea=True&amp;isModal=False
</t>
  </si>
  <si>
    <t>DIRECTA 092-2025</t>
  </si>
  <si>
    <t>180-18</t>
  </si>
  <si>
    <t>TUMACO-NARIÑO</t>
  </si>
  <si>
    <t>john.quinones@upme.gov.co</t>
  </si>
  <si>
    <t xml:space="preserve">	jquinones@utp.edu.co</t>
  </si>
  <si>
    <t xml:space="preserve">https://community.secop.gov.co/Public/Tendering/ContractNoticePhases/View?PPI=CO1.PPI.36817619&amp;isFromPublicArea=True&amp;isModal=False
</t>
  </si>
  <si>
    <t>DIRECTA 093-2025</t>
  </si>
  <si>
    <t>161-37</t>
  </si>
  <si>
    <t>carmen.palomeque@upme.gov.co</t>
  </si>
  <si>
    <t xml:space="preserve">	carmen_palomeque@live.com</t>
  </si>
  <si>
    <t xml:space="preserve">https://community.secop.gov.co/Public/Tendering/ContractNoticePhases/View?PPI=CO1.PPI.36821939&amp;isFromPublicArea=True&amp;isModal=False
</t>
  </si>
  <si>
    <t>DIRECTA 094-2025</t>
  </si>
  <si>
    <t>131-3</t>
  </si>
  <si>
    <t>MONTERIA - CORDOBA</t>
  </si>
  <si>
    <t>marlet.garcia@upme.gov.co</t>
  </si>
  <si>
    <t xml:space="preserve">	marletgarciap@gmail.com</t>
  </si>
  <si>
    <t xml:space="preserve">https://community.secop.gov.co/Public/Tendering/ContractNoticePhases/View?PPI=CO1.PPI.36834670&amp;isFromPublicArea=True&amp;isModal=False
</t>
  </si>
  <si>
    <t>carlos.valles@upme.gov.co</t>
  </si>
  <si>
    <t>DIRECTA 095-2025</t>
  </si>
  <si>
    <t>161-20</t>
  </si>
  <si>
    <t>CAQUEZA- CUNDINAMARCA</t>
  </si>
  <si>
    <t>alison.rozo@upme.gov.co</t>
  </si>
  <si>
    <t>alirozocruz@gmail.com</t>
  </si>
  <si>
    <t xml:space="preserve">https://community.secop.gov.co/Public/Tendering/ContractNoticePhases/View?PPI=CO1.PPI.36837164&amp;isFromPublicArea=True&amp;isModal=False
</t>
  </si>
  <si>
    <t>robinson.gonzalez@upme.gov.co</t>
  </si>
  <si>
    <t>DIRECTA 096-2025</t>
  </si>
  <si>
    <t>161-17</t>
  </si>
  <si>
    <t>SERVICIO OCCIDENTAL DE SALUD</t>
  </si>
  <si>
    <t>miguel.viveros@upme.gov.co</t>
  </si>
  <si>
    <t xml:space="preserve">	miguel.3010@hotmail.es</t>
  </si>
  <si>
    <t xml:space="preserve">https://community.secop.gov.co/Public/Tendering/ContractNoticePhases/View?PPI=CO1.PPI.36838333&amp;isFromPublicArea=True&amp;isModal=False
</t>
  </si>
  <si>
    <t>DIRECTA 097-2025</t>
  </si>
  <si>
    <t>161-22</t>
  </si>
  <si>
    <t>SAN GIL - SANTANDER</t>
  </si>
  <si>
    <t>saray.gomez@upme.gov.co</t>
  </si>
  <si>
    <t>saray9785@gmail.com</t>
  </si>
  <si>
    <t xml:space="preserve">https://community.secop.gov.co/Public/Tendering/ContractNoticePhases/View?PPI=CO1.PPI.36837616&amp;isFromPublicArea=True&amp;isModal=False
</t>
  </si>
  <si>
    <t>DIRECTA 098-2025</t>
  </si>
  <si>
    <t>161-21</t>
  </si>
  <si>
    <t>LA MESA -CUNDINAMARCA</t>
  </si>
  <si>
    <t>angela.torres@upme.gov.co</t>
  </si>
  <si>
    <t>anulserrot@gmail.com</t>
  </si>
  <si>
    <t xml:space="preserve">https://community.secop.gov.co/Public/Tendering/ContractNoticePhases/View?PPI=CO1.PPI.36840747&amp;isFromPublicArea=True&amp;isModal=False
</t>
  </si>
  <si>
    <t>DIRECTA 099-2025</t>
  </si>
  <si>
    <t>131-41</t>
  </si>
  <si>
    <t>ricardo.camargo@upme.gov.co</t>
  </si>
  <si>
    <t>rcamargob@gmail.com</t>
  </si>
  <si>
    <t>https://community.secop.gov.co/Public/Tendering/ContractNoticePhases/View?PPI=CO1.PPI.36862167&amp;isFromPublicArea=True&amp;isModal=False</t>
  </si>
  <si>
    <t>fredy.bautista@upme.gov.co</t>
  </si>
  <si>
    <t>DIRECTA 100-2025</t>
  </si>
  <si>
    <t>170-23</t>
  </si>
  <si>
    <t>lina.castellanos@upme.gov.co</t>
  </si>
  <si>
    <t>uribelina@gmail.com</t>
  </si>
  <si>
    <t xml:space="preserve">https://community.secop.gov.co/Public/Tendering/ContractNoticePhases/View?PPI=CO1.PPI.36880149&amp;isFromPublicArea=True&amp;isModal=False
</t>
  </si>
  <si>
    <t>2025114140100108E</t>
  </si>
  <si>
    <t>DIRECTA 101-2025</t>
  </si>
  <si>
    <t>131-48</t>
  </si>
  <si>
    <t>diego.penaranda@upme.gov.co</t>
  </si>
  <si>
    <t>diegovb2001@hotmail.com</t>
  </si>
  <si>
    <t xml:space="preserve">https://community.secop.gov.co/Public/Tendering/ContractNoticePhases/View?PPI=CO1.PPI.36855121&amp;isFromPublicArea=True&amp;isModal=False
</t>
  </si>
  <si>
    <t>2025114140100101E</t>
  </si>
  <si>
    <t>DIRECTA 102-2025</t>
  </si>
  <si>
    <t>170-19</t>
  </si>
  <si>
    <t>raul.baez@upme.gov.co</t>
  </si>
  <si>
    <t>raulbd21@gmail.com</t>
  </si>
  <si>
    <t xml:space="preserve">https://community.secop.gov.co/Public/Tendering/ContractNoticePhases/View?PPI=CO1.PPI.36871427&amp;isFromPublicArea=True&amp;isModal=False
</t>
  </si>
  <si>
    <t>magda.sierra@upme.gov.co</t>
  </si>
  <si>
    <t>2025114140000107E</t>
  </si>
  <si>
    <t>DIRECTA 103-2025</t>
  </si>
  <si>
    <t>130-19</t>
  </si>
  <si>
    <t>elkin.rojas@upme.gov.co</t>
  </si>
  <si>
    <t>elkrojas@hotmail.com</t>
  </si>
  <si>
    <t xml:space="preserve">https://community.secop.gov.co/Public/Tendering/ContractNoticePhases/View?PPI=CO1.PPI.36882184&amp;isFromPublicArea=True&amp;isModal=False
</t>
  </si>
  <si>
    <t>sandra.zambrano@upme.gov.co</t>
  </si>
  <si>
    <t>DIRECTA 104-2025</t>
  </si>
  <si>
    <t>130-4 / 130-5</t>
  </si>
  <si>
    <t>adriana.rojas@upme.gov.co</t>
  </si>
  <si>
    <t>ariadna0221@gmail.com</t>
  </si>
  <si>
    <t xml:space="preserve">https://community.secop.gov.co/Public/Tendering/ContractNoticePhases/View?PPI=CO1.PPI.36892021&amp;isFromPublicArea=True&amp;isModal=False
</t>
  </si>
  <si>
    <t>2025114140000116E</t>
  </si>
  <si>
    <t>DIRECTA 105-2025</t>
  </si>
  <si>
    <t>180-15</t>
  </si>
  <si>
    <t>rafael.luque@upme.gov.co</t>
  </si>
  <si>
    <t>angelo.luque@gmail.com</t>
  </si>
  <si>
    <t xml:space="preserve">https://community.secop.gov.co/Public/Tendering/ContractNoticePhases/View?PPI=CO1.PPI.36873069&amp;isFromPublicArea=True&amp;isModal=False
</t>
  </si>
  <si>
    <t>2025114140000111E</t>
  </si>
  <si>
    <t>ADRIANA DURAN CENTENO</t>
  </si>
  <si>
    <t>DIRECTA 106-2025</t>
  </si>
  <si>
    <t>161-59</t>
  </si>
  <si>
    <t>BARANCAMERJA-SANTANDER</t>
  </si>
  <si>
    <t>adriana.duran@upme.gov.co</t>
  </si>
  <si>
    <t>adriana.1017@hotmail.com</t>
  </si>
  <si>
    <t>https://community.secop.gov.co/Public/Tendering/ContractNoticePhases/View?PPI=CO1.PPI.36893320&amp;isFromPublicArea=True&amp;isModal=False</t>
  </si>
  <si>
    <t>natalia.tovar@upme.gov.co</t>
  </si>
  <si>
    <t>2025114140000112E</t>
  </si>
  <si>
    <t>DIRECTA 107-2025</t>
  </si>
  <si>
    <t>161-44</t>
  </si>
  <si>
    <t>nicolas.beltran@upme.gov.co</t>
  </si>
  <si>
    <t>nicolasbeltran.abog@gmail.com</t>
  </si>
  <si>
    <t xml:space="preserve">https://community.secop.gov.co/Public/Tendering/ContractNoticePhases/View?PPI=CO1.PPI.36949652&amp;isFromPublicArea=True&amp;isModal=False
</t>
  </si>
  <si>
    <t>2025114140100128E</t>
  </si>
  <si>
    <t>DIRECTA 108-2025</t>
  </si>
  <si>
    <t>180-16</t>
  </si>
  <si>
    <t>SIMIJACA-CUNDINAMARCA</t>
  </si>
  <si>
    <t>nelson.salgado@upme.gov.co</t>
  </si>
  <si>
    <t>ingsalgado95@gmail.com</t>
  </si>
  <si>
    <t xml:space="preserve">https://community.secop.gov.co/Public/Tendering/ContractNoticePhases/View?PPI=CO1.PPI.36876046&amp;isFromPublicArea=True&amp;isModal=False
</t>
  </si>
  <si>
    <t>2025114140000110E</t>
  </si>
  <si>
    <t>DIRECTA 109-2025.</t>
  </si>
  <si>
    <t>100-35</t>
  </si>
  <si>
    <t>maria.corredor@upme.gov.co</t>
  </si>
  <si>
    <t>mafecorredor7@gmail.com</t>
  </si>
  <si>
    <t xml:space="preserve">https://community.secop.gov.co/Public/Tendering/ContractNoticePhases/View?PPI=CO1.PPI.36919613&amp;isFromPublicArea=True&amp;isModal=False
</t>
  </si>
  <si>
    <t>2025114140000122E</t>
  </si>
  <si>
    <t>DIRECTA 110-2025</t>
  </si>
  <si>
    <t>131-6/131-10/131-26/131-27</t>
  </si>
  <si>
    <t>BARRANCABERMEJA-SANTANDER</t>
  </si>
  <si>
    <t>diego.torres@upme.gov.co</t>
  </si>
  <si>
    <t>diegotorres404@gmail.com</t>
  </si>
  <si>
    <t xml:space="preserve">https://community.secop.gov.co/Public/Tendering/ContractNoticePhases/View?PPI=CO1.PPI.36880263&amp;isFromPublicArea=True&amp;isModal=False
</t>
  </si>
  <si>
    <t>johana.castellanos@upme.gov.co</t>
  </si>
  <si>
    <t>2025114140000115E</t>
  </si>
  <si>
    <t>DIRECTA 111-2025</t>
  </si>
  <si>
    <t>170-18</t>
  </si>
  <si>
    <t>yuly.palacios@upme.gov.co</t>
  </si>
  <si>
    <t>tpalaciosabogada@gmail.com</t>
  </si>
  <si>
    <t xml:space="preserve">https://community.secop.gov.co/Public/Tendering/ContractNoticePhases/View?PPI=CO1.PPI.36901137&amp;isFromPublicArea=True&amp;isModal=False
</t>
  </si>
  <si>
    <t>2025114140000118E</t>
  </si>
  <si>
    <t>S.D., S.H.</t>
  </si>
  <si>
    <t>DIRECTA 112-2025</t>
  </si>
  <si>
    <t>161-33, 131-15, 131-24 y 131-37</t>
  </si>
  <si>
    <t>johnalexander.sanchez@upme.gov.co</t>
  </si>
  <si>
    <t>johnsanca@hotmail.com</t>
  </si>
  <si>
    <t xml:space="preserve">https://community.secop.gov.co/Public/Tendering/ContractNoticePhases/View?PPI=CO1.PPI.36888880&amp;isFromPublicArea=True&amp;isModal=False
</t>
  </si>
  <si>
    <t>2025114140100169E</t>
  </si>
  <si>
    <t>FEBRERO</t>
  </si>
  <si>
    <t>DIRECTA 113-2025</t>
  </si>
  <si>
    <t>161-55</t>
  </si>
  <si>
    <t>MONIQUIRA-BOYACA</t>
  </si>
  <si>
    <t>yeimy.buitrago@upme.gov.co</t>
  </si>
  <si>
    <t>yeimypao0820@gmail.com</t>
  </si>
  <si>
    <t>https://community.secop.gov.co/Public/Tendering/ContractNoticePhases/View?PPI=CO1.PPI.36889681&amp;isFromPublicArea=True&amp;isModal=False</t>
  </si>
  <si>
    <t>2025114140000109E</t>
  </si>
  <si>
    <t>O.A.J</t>
  </si>
  <si>
    <t>DIRECTA 114-2025</t>
  </si>
  <si>
    <t>150-2</t>
  </si>
  <si>
    <t>MIRAFLORES-BOYACA</t>
  </si>
  <si>
    <t>hector.monroy@upme.gov.co</t>
  </si>
  <si>
    <t>torgus9119@gmail.com</t>
  </si>
  <si>
    <t xml:space="preserve">https://community.secop.gov.co/Public/Tendering/ContractNoticePhases/View?PPI=CO1.PPI.36949628&amp;isFromPublicArea=True&amp;isModal=False
</t>
  </si>
  <si>
    <t>jenny.barrera@upme.gov.co</t>
  </si>
  <si>
    <t>2025114140000126E</t>
  </si>
  <si>
    <t>DIRECTA 115-2025</t>
  </si>
  <si>
    <t>150-9</t>
  </si>
  <si>
    <t>SALUD TOTAL</t>
  </si>
  <si>
    <t>paola.paramo@upme.gov.co</t>
  </si>
  <si>
    <t>paolaparamoa@gmail.com</t>
  </si>
  <si>
    <t xml:space="preserve">https://community.secop.gov.co/Public/Tendering/ContractNoticePhases/View?PPI=CO1.PPI.36887595&amp;isFromPublicArea=True&amp;isModal=False
</t>
  </si>
  <si>
    <t>2025114140000121E</t>
  </si>
  <si>
    <t>DIRECTA 116-2025</t>
  </si>
  <si>
    <t>161-32</t>
  </si>
  <si>
    <t>POSITITIVA</t>
  </si>
  <si>
    <t>´PORVENIR</t>
  </si>
  <si>
    <t>david.cespedes@upme.gov.co</t>
  </si>
  <si>
    <t>dfelipecr@gmail.com</t>
  </si>
  <si>
    <t xml:space="preserve">https://community.secop.gov.co/Public/Tendering/ContractNoticePhases/View?PPI=CO1.PPI.36893186&amp;isFromPublicArea=True&amp;isModal=False
</t>
  </si>
  <si>
    <t>2025114140000114E</t>
  </si>
  <si>
    <t>DIRECTA 117-2025</t>
  </si>
  <si>
    <t>180-17</t>
  </si>
  <si>
    <t>COLPÉNSIONES</t>
  </si>
  <si>
    <t>OCCIDENTAL SALUD</t>
  </si>
  <si>
    <t>PEREIRA-RISARALDA</t>
  </si>
  <si>
    <t>ADMINISTRACION AMBIENTAL</t>
  </si>
  <si>
    <t>carolina.bolanos@upme.gov.co</t>
  </si>
  <si>
    <t>caro@utp.edu.co</t>
  </si>
  <si>
    <t xml:space="preserve">https://community.secop.gov.co/Public/Tendering/ContractNoticePhases/View?PPI=CO1.PPI.36892514&amp;isFromPublicArea=True&amp;isModal=False
</t>
  </si>
  <si>
    <t>2025114140000119E</t>
  </si>
  <si>
    <t>20251400006143
20251400006523</t>
  </si>
  <si>
    <t>DIRECTA 118-2025</t>
  </si>
  <si>
    <t>140-22</t>
  </si>
  <si>
    <t>juan.cifuentes@upme.gov.co</t>
  </si>
  <si>
    <t>jpcifuentesn@gmail.com</t>
  </si>
  <si>
    <t xml:space="preserve">https://community.secop.gov.co/Public/Tendering/ContractNoticePhases/View?PPI=CO1.PPI.36901194&amp;isFromPublicArea=True&amp;isModal=False
</t>
  </si>
  <si>
    <t>maria.obando@upme.gov.co</t>
  </si>
  <si>
    <t>2025114140100156E</t>
  </si>
  <si>
    <t>DIRECTA 119-2025</t>
  </si>
  <si>
    <t>130-20</t>
  </si>
  <si>
    <t>william.fonseca@upme.gov.co</t>
  </si>
  <si>
    <t>wf.fonseca@gmail.com</t>
  </si>
  <si>
    <t xml:space="preserve">https://community.secop.gov.co/Public/Tendering/ContractNoticePhases/View?PPI=CO1.PPI.36895358&amp;isFromPublicArea=True&amp;isModal=False
</t>
  </si>
  <si>
    <t>2025114140000127E</t>
  </si>
  <si>
    <t>DIRECTA 120-2025</t>
  </si>
  <si>
    <t>130-11</t>
  </si>
  <si>
    <t>laura.berrio@upme.gov.co</t>
  </si>
  <si>
    <t>lberrioflorez@gmail.com</t>
  </si>
  <si>
    <t xml:space="preserve">https://community.secop.gov.co/Public/Tendering/ContractNoticePhases/View?PPI=CO1.PPI.36896570&amp;isFromPublicArea=True&amp;isModal=False
</t>
  </si>
  <si>
    <t>2025114140000124E</t>
  </si>
  <si>
    <t>DIRECTA 121-2025</t>
  </si>
  <si>
    <t>130-3</t>
  </si>
  <si>
    <t>edwin.bautista@upme.gov.co</t>
  </si>
  <si>
    <t>ebautista1994@gmail.com</t>
  </si>
  <si>
    <t xml:space="preserve">https://community.secop.gov.co/Public/Tendering/ContractNoticePhases/View?PPI=CO1.PPI.36905802&amp;isFromPublicArea=True&amp;isModal=False
</t>
  </si>
  <si>
    <t>2025114140000117E</t>
  </si>
  <si>
    <t>DIRECTA 122-2025</t>
  </si>
  <si>
    <t>101-17</t>
  </si>
  <si>
    <t>claudia.fernandez@upme.gov.co</t>
  </si>
  <si>
    <t>claudiafernandez25@outlook.com</t>
  </si>
  <si>
    <t xml:space="preserve">https://community.secop.gov.co/Public/Tendering/ContractNoticePhases/View?PPI=CO1.PPI.36923199&amp;isFromPublicArea=True&amp;isModal=False
</t>
  </si>
  <si>
    <t>monica.ovalle@upme.gov.co</t>
  </si>
  <si>
    <t>2025114140000120E</t>
  </si>
  <si>
    <t>DIRECTA 123-2025</t>
  </si>
  <si>
    <t>140-7</t>
  </si>
  <si>
    <t>POSITVA</t>
  </si>
  <si>
    <t>SKANIA</t>
  </si>
  <si>
    <t>FUSAGASUGA-CUNDINAMARCA</t>
  </si>
  <si>
    <t>julian.aragon@upme.gov.co</t>
  </si>
  <si>
    <t>jesantamariaa@gmail.com</t>
  </si>
  <si>
    <t xml:space="preserve">https://community.secop.gov.co/Public/Tendering/ContractNoticePhases/View?PPI=CO1.PPI.36925264&amp;isFromPublicArea=True&amp;isModal=False
</t>
  </si>
  <si>
    <t>2025114140000125E</t>
  </si>
  <si>
    <t>DIRECTA 124-2025</t>
  </si>
  <si>
    <t>101-4</t>
  </si>
  <si>
    <t>nelsy.alzate@upme.gov.co</t>
  </si>
  <si>
    <t>aalzatesaenz@gmail.com</t>
  </si>
  <si>
    <t xml:space="preserve">https://community.secop.gov.co/Public/Tendering/ContractNoticePhases/View?PPI=CO1.PPI.36937777&amp;isFromPublicArea=True&amp;isModal=False
</t>
  </si>
  <si>
    <t>DIRECTA 125-2025</t>
  </si>
  <si>
    <t>100-36</t>
  </si>
  <si>
    <t>angie.barrera@upme.gov.co</t>
  </si>
  <si>
    <t>angie.creativos@gmail.com</t>
  </si>
  <si>
    <t xml:space="preserve">https://community.secop.gov.co/Public/Tendering/ContractNoticePhases/View?PPI=CO1.PPI.37069014&amp;isFromPublicArea=True&amp;isModal=False
</t>
  </si>
  <si>
    <t>24/01/2025
28/01/2025</t>
  </si>
  <si>
    <t>20251300006493
20251300007283</t>
  </si>
  <si>
    <t>DIRECTA 126-2025</t>
  </si>
  <si>
    <t>130-12 - 130-13</t>
  </si>
  <si>
    <t xml:space="preserve">juanortega_1990@gmail.com
</t>
  </si>
  <si>
    <t>welltomach@gmail.com</t>
  </si>
  <si>
    <t xml:space="preserve">https://community.secop.gov.co/Public/Tendering/ContractNoticePhases/View?PPI=CO1.PPI.38368831&amp;isFromPublicArea=True&amp;isModal=False
</t>
  </si>
  <si>
    <t>DIRECTA 127-2025</t>
  </si>
  <si>
    <t>150-45</t>
  </si>
  <si>
    <t>DUITAMA-BOYACA</t>
  </si>
  <si>
    <t>sonia.echeverria@upme.gov.co</t>
  </si>
  <si>
    <t>sonia.echeverria.rojas@gmail.com</t>
  </si>
  <si>
    <t xml:space="preserve">https://community.secop.gov.co/Public/Tendering/ContractNoticePhases/View?PPI=CO1.PPI.36985677&amp;isFromPublicArea=True&amp;isModal=False
</t>
  </si>
  <si>
    <t>manuel.acevedo@upme.gov.co</t>
  </si>
  <si>
    <t>DIRECTA 128-2025</t>
  </si>
  <si>
    <t>150-47</t>
  </si>
  <si>
    <t>brajham.chitiva@upme.gov.co</t>
  </si>
  <si>
    <t>bdchitival@unal.edu.co</t>
  </si>
  <si>
    <t xml:space="preserve">https://community.secop.gov.co/Public/Tendering/ContractNoticePhases/View?PPI=CO1.PPI.36989358&amp;isFromPublicArea=True&amp;isModal=False
</t>
  </si>
  <si>
    <t>jose.hurtado@upme.gov.co</t>
  </si>
  <si>
    <t>DIRECTA 129-2025</t>
  </si>
  <si>
    <t>150-48</t>
  </si>
  <si>
    <t>GRANADA-ANTIOQUIA</t>
  </si>
  <si>
    <t>fredy.gomez@upme.gov.co</t>
  </si>
  <si>
    <t>gfredyaugusto@gmail.com</t>
  </si>
  <si>
    <t xml:space="preserve">https://community.secop.gov.co/Public/Tendering/ContractNoticePhases/View?PPI=CO1.PPI.36990493&amp;isFromPublicArea=True&amp;isModal=False
</t>
  </si>
  <si>
    <t>paula.bautista@upme.gov.co</t>
  </si>
  <si>
    <t>2025114000000130E</t>
  </si>
  <si>
    <t>DIRECTA 130-2025</t>
  </si>
  <si>
    <t>150-46</t>
  </si>
  <si>
    <t>FACATATIVA-CUNDIMARCA</t>
  </si>
  <si>
    <t>william.villamil@upme.gov.co</t>
  </si>
  <si>
    <t>wfvillamilc@gmail.com</t>
  </si>
  <si>
    <t xml:space="preserve">https://community.secop.gov.co/Public/Tendering/ContractNoticePhases/View?PPI=CO1.PPI.36987753&amp;isFromPublicArea=True&amp;isModal=False
</t>
  </si>
  <si>
    <t>DIRECTA 131-2025</t>
  </si>
  <si>
    <t>170-8</t>
  </si>
  <si>
    <t>TABIO-CUNDINAMARCA</t>
  </si>
  <si>
    <t>alejandro.rodriguez@upme.gov.co</t>
  </si>
  <si>
    <t>alejandrorodriguez42@hotmail.com</t>
  </si>
  <si>
    <t xml:space="preserve">https://community.secop.gov.co/Public/Tendering/ContractNoticePhases/View?PPI=CO1.PPI.37164097&amp;isFromPublicArea=True&amp;isModal=False
</t>
  </si>
  <si>
    <t>DIRECTA 132-2025</t>
  </si>
  <si>
    <t>160-7</t>
  </si>
  <si>
    <t>elkin.ramirez@upme.gov.co</t>
  </si>
  <si>
    <t>eramirpr@hotmail.com</t>
  </si>
  <si>
    <t xml:space="preserve">https://community.secop.gov.co/Public/Tendering/ContractNoticePhases/View?PPI=CO1.PPI.36960991&amp;isFromPublicArea=True&amp;isModal=False
</t>
  </si>
  <si>
    <t>DIRECTA 133-2025</t>
  </si>
  <si>
    <t>131-19</t>
  </si>
  <si>
    <t>julieth.garcia@upme.gov.co</t>
  </si>
  <si>
    <t xml:space="preserve">	julietagarcia89@gmail.com</t>
  </si>
  <si>
    <t xml:space="preserve">https://community.secop.gov.co/Public/Tendering/ContractNoticePhases/View?PPI=CO1.PPI.36978348&amp;isFromPublicArea=True&amp;isModal=False
</t>
  </si>
  <si>
    <t>DIRECTA 134-2025</t>
  </si>
  <si>
    <t>170-07</t>
  </si>
  <si>
    <t>SOGAMOSO-BOYACA</t>
  </si>
  <si>
    <t>ivonn.marino@upme.gov.co</t>
  </si>
  <si>
    <t xml:space="preserve">	ivonnmarino@outlook.com</t>
  </si>
  <si>
    <t xml:space="preserve">https://community.secop.gov.co/Public/Tendering/ContractNoticePhases/View?PPI=CO1.PPI.36974404&amp;isFromPublicArea=True&amp;isModal=False
</t>
  </si>
  <si>
    <t>eider.quintana@upme.gov.co</t>
  </si>
  <si>
    <t>DIRECTA 135-2025</t>
  </si>
  <si>
    <t>170-05</t>
  </si>
  <si>
    <t>CALI -VALLE</t>
  </si>
  <si>
    <t>katherine.rodriguez@upme.gov.co</t>
  </si>
  <si>
    <t>kathe.role@gmail.com</t>
  </si>
  <si>
    <t xml:space="preserve">https://community.secop.gov.co/Public/Tendering/ContractNoticePhases/View?PPI=CO1.PPI.36978793&amp;isFromPublicArea=True&amp;isModal=False
</t>
  </si>
  <si>
    <t>henry.oliveros@upme.gov.co</t>
  </si>
  <si>
    <t>DIRECTA 136-2025</t>
  </si>
  <si>
    <t>170-06</t>
  </si>
  <si>
    <t>magda.beltran@upme.gov.co</t>
  </si>
  <si>
    <t>lilianabeltranm@gmail.com</t>
  </si>
  <si>
    <t xml:space="preserve">https://community.secop.gov.co/Public/Tendering/ContractNoticePhases/View?PPI=CO1.PPI.36980958&amp;isFromPublicArea=True&amp;isModal=False
</t>
  </si>
  <si>
    <t>fernando.cardeno@upme.gov.co</t>
  </si>
  <si>
    <t>DIRECTA 137-2025</t>
  </si>
  <si>
    <t>160-16</t>
  </si>
  <si>
    <t>sofia.delgado@upme.gov.co</t>
  </si>
  <si>
    <t>sofiadlgd@gmail.com</t>
  </si>
  <si>
    <t xml:space="preserve">https://community.secop.gov.co/Public/Tendering/ContractNoticePhases/View?PPI=CO1.PPI.36978703&amp;isFromPublicArea=True&amp;isModal=False
</t>
  </si>
  <si>
    <t>CO1.PCCNTR. 7344401</t>
  </si>
  <si>
    <t>DIRECTA 138-2025</t>
  </si>
  <si>
    <t>161-29</t>
  </si>
  <si>
    <t>cristian.rodriguez@upme.gov.co</t>
  </si>
  <si>
    <t>crdrodriguezre@gmail.com</t>
  </si>
  <si>
    <t xml:space="preserve">https://community.secop.gov.co/Public/Tendering/ContractNoticePhases/View?PPI=CO1.PPI.36992853&amp;isFromPublicArea=True&amp;isModal=False
</t>
  </si>
  <si>
    <t>ingrid.quiroga@upme.gov.vo</t>
  </si>
  <si>
    <t>DIRECTA 139-2025</t>
  </si>
  <si>
    <t>160-17 y 160-18</t>
  </si>
  <si>
    <t>david.romero@upme.gov.co</t>
  </si>
  <si>
    <t>dfromeroq@unal.edu.co</t>
  </si>
  <si>
    <t xml:space="preserve">https://community.secop.gov.co/Public/Tendering/ContractNoticePhases/View?PPI=CO1.PPI.36994101&amp;isFromPublicArea=True&amp;isModal=False
</t>
  </si>
  <si>
    <t>DIRECTA 140-2025</t>
  </si>
  <si>
    <t>161-45</t>
  </si>
  <si>
    <t>NUEVA E´S</t>
  </si>
  <si>
    <t>rafael.rios@upme.gov.co</t>
  </si>
  <si>
    <t>rafarios@hotmail.com</t>
  </si>
  <si>
    <t xml:space="preserve">https://community.secop.gov.co/Public/Tendering/ContractNoticePhases/View?PPI=CO1.PPI.36994968&amp;isFromPublicArea=True&amp;isModal=False
</t>
  </si>
  <si>
    <t>DIRECTA 141-2025</t>
  </si>
  <si>
    <t>161-46</t>
  </si>
  <si>
    <t>giovanny.sanabria@upme.gov.co</t>
  </si>
  <si>
    <t>alexandersanabria0919@hotmail.com</t>
  </si>
  <si>
    <t xml:space="preserve">https://community.secop.gov.co/Public/Tendering/ContractNoticePhases/View?PPI=CO1.PPI.37003445&amp;isFromPublicArea=True&amp;isModal=False
</t>
  </si>
  <si>
    <t>27/01/2025
30/01/2025</t>
  </si>
  <si>
    <t>20251500007263
20251500007913</t>
  </si>
  <si>
    <t>28/01/2025
30/01/2025</t>
  </si>
  <si>
    <t>DIRECTA 142-2025</t>
  </si>
  <si>
    <t>150-22</t>
  </si>
  <si>
    <t>INGENIERA CATASTRLA</t>
  </si>
  <si>
    <t>angie.montoya@upme.gov.co</t>
  </si>
  <si>
    <t>Angie.amontoyag.23@gmail.com</t>
  </si>
  <si>
    <t xml:space="preserve">https://community.secop.gov.co/Public/Tendering/ContractNoticePhases/View?PPI=CO1.PPI.37152234&amp;isFromPublicArea=True&amp;isModal=False
</t>
  </si>
  <si>
    <t>DIRECTA 143-2025</t>
  </si>
  <si>
    <t>131-16</t>
  </si>
  <si>
    <t>jlavendanos@unal.edu.co</t>
  </si>
  <si>
    <t xml:space="preserve">https://community.secop.gov.co/Public/Tendering/ContractNoticePhases/View?PPI=CO1.PPI.37012489&amp;isFromPublicArea=True&amp;isModal=False
</t>
  </si>
  <si>
    <t>cesar.jerez@upme.gov.co</t>
  </si>
  <si>
    <t>DIRECTA 144-2025</t>
  </si>
  <si>
    <t>131-22</t>
  </si>
  <si>
    <t>nicolas.munoz@upme.gov.co</t>
  </si>
  <si>
    <t>nicolasmcfc@gmail.com</t>
  </si>
  <si>
    <t xml:space="preserve">https://community.secop.gov.co/Public/Tendering/ContractNoticePhases/View?PPI=CO1.PPI.37003911&amp;isFromPublicArea=True&amp;isModal=False
</t>
  </si>
  <si>
    <t>DIRECTA 145-2025</t>
  </si>
  <si>
    <t>131-35 y 131-39</t>
  </si>
  <si>
    <t>olga.rojas@upme.gov.co</t>
  </si>
  <si>
    <t xml:space="preserve">	Olga.rojas@gmail.com</t>
  </si>
  <si>
    <t xml:space="preserve">https://community.secop.gov.co/Public/Tendering/ContractNoticePhases/View?PPI=CO1.PPI.37009413&amp;isFromPublicArea=True&amp;isModal=False
</t>
  </si>
  <si>
    <t>DIRECTA 146-2025</t>
  </si>
  <si>
    <t>131-5 y 131-6</t>
  </si>
  <si>
    <t>SEGUROS BOLIVAR</t>
  </si>
  <si>
    <t>CHARALA</t>
  </si>
  <si>
    <t>wilson.santamaria@upme.gov.co</t>
  </si>
  <si>
    <t>wilsondidier@gmail.com</t>
  </si>
  <si>
    <t>DIRECTA 147-2025</t>
  </si>
  <si>
    <t>150-21</t>
  </si>
  <si>
    <t>jorge.castro@upme.gov.co</t>
  </si>
  <si>
    <t>esteban.cg6@hotmail.com</t>
  </si>
  <si>
    <t xml:space="preserve">https://community.secop.gov.co/Public/Tendering/ContractNoticePhases/View?PPI=CO1.PPI.37017151&amp;isFromPublicArea=True&amp;isModal=False
</t>
  </si>
  <si>
    <t>DIRECTA 148-2025</t>
  </si>
  <si>
    <t>150-20</t>
  </si>
  <si>
    <t>laura.gomez@upme.gov.co</t>
  </si>
  <si>
    <t xml:space="preserve">	isa.gomez1993@gmail.com</t>
  </si>
  <si>
    <t xml:space="preserve">https://community.secop.gov.co/Public/Tendering/ContractNoticePhases/View?PPI=CO1.PPI.37018440&amp;isFromPublicArea=True&amp;isModal=False
</t>
  </si>
  <si>
    <t>DIRECTA 149-2025</t>
  </si>
  <si>
    <t>150-13</t>
  </si>
  <si>
    <t>SANTA ROSE DE VITERBO-BOYACA</t>
  </si>
  <si>
    <t>gersson.sanchez@upme.gov.co</t>
  </si>
  <si>
    <t>gerssonivan.sanchez05@gmail.com</t>
  </si>
  <si>
    <t xml:space="preserve">https://community.secop.gov.co/Public/Tendering/ContractNoticePhases/View?PPI=CO1.PPI.37021151&amp;isFromPublicArea=True&amp;isModal=False
</t>
  </si>
  <si>
    <t>DIRECTA 150-2025</t>
  </si>
  <si>
    <t>150-7</t>
  </si>
  <si>
    <t>diana.munoz@upme.gov.co</t>
  </si>
  <si>
    <t>dipmunozr@gmail.com</t>
  </si>
  <si>
    <t xml:space="preserve">https://community.secop.gov.co/Public/Tendering/ContractNoticePhases/View?PPI=CO1.PPI.37024370&amp;isFromPublicArea=True&amp;isModal=False
</t>
  </si>
  <si>
    <t>DIRECTA 151-2025</t>
  </si>
  <si>
    <t>150-4</t>
  </si>
  <si>
    <t>IBAGUE-TOLIMA</t>
  </si>
  <si>
    <t>david.rincon@upme.gov.co</t>
  </si>
  <si>
    <t>davidfernandorinconbautista@gmail.com</t>
  </si>
  <si>
    <t xml:space="preserve">https://community.secop.gov.co/Public/Tendering/ContractNoticePhases/View?PPI=CO1.PPI.37029444&amp;isFromPublicArea=True&amp;isModal=False
</t>
  </si>
  <si>
    <t>DIRECTA 152-2025</t>
  </si>
  <si>
    <t>100-40</t>
  </si>
  <si>
    <t>edwin.rodriguez@upme.gov.co</t>
  </si>
  <si>
    <t>egrodriguez.abogado@gmail.com</t>
  </si>
  <si>
    <t xml:space="preserve">https://community.secop.gov.co/Public/Tendering/ContractNoticePhases/View?PPI=CO1.PPI.37065859&amp;isFromPublicArea=True&amp;isModal=False
</t>
  </si>
  <si>
    <t>DIRECTA 153-2025</t>
  </si>
  <si>
    <t>170-17</t>
  </si>
  <si>
    <t>BARRANQUILLA-ATLANTICO</t>
  </si>
  <si>
    <t>alejandra.gil@upme.gov.co</t>
  </si>
  <si>
    <t xml:space="preserve">	alegilperez@gmail.com</t>
  </si>
  <si>
    <t xml:space="preserve">https://community.secop.gov.co/Public/Tendering/ContractNoticePhases/View?PPI=CO1.PPI.37139176&amp;isFromPublicArea=True&amp;isModal=False
</t>
  </si>
  <si>
    <t>DIRECTA 154-2025</t>
  </si>
  <si>
    <t>131-45</t>
  </si>
  <si>
    <t>narghy.vargas@upme.gov.co</t>
  </si>
  <si>
    <t>nataliavargas0606@gmail.com</t>
  </si>
  <si>
    <t xml:space="preserve">https://community.secop.gov.co/Public/Tendering/ContractNoticePhases/View?PPI=CO1.PPI.37052442&amp;isFromPublicArea=True&amp;isModal=False
</t>
  </si>
  <si>
    <t>DIRECTA 155-2025</t>
  </si>
  <si>
    <t>131-10, 131-27, 131-33</t>
  </si>
  <si>
    <t>john.avila@upme.gov.co</t>
  </si>
  <si>
    <t>John Avila &lt;johnavila2@gmail.com</t>
  </si>
  <si>
    <t xml:space="preserve">https://community.secop.gov.co/Public/Tendering/ContractNoticePhases/View?PPI=CO1.PPI.37052139&amp;isFromPublicArea=True&amp;isModal=False
</t>
  </si>
  <si>
    <t>DIRECTA 156-2025</t>
  </si>
  <si>
    <t>131-49</t>
  </si>
  <si>
    <t>CARTAGENA-BOLIVAR</t>
  </si>
  <si>
    <t>wilson.hurtado@upme.gov.co</t>
  </si>
  <si>
    <t xml:space="preserve">	wilsonjhm@gmail.com</t>
  </si>
  <si>
    <t xml:space="preserve">https://community.secop.gov.co/Public/Tendering/ContractNoticePhases/View?PPI=CO1.PPI.37052489&amp;isFromPublicArea=True&amp;isModal=False
</t>
  </si>
  <si>
    <t>DIRECTA 157-2025</t>
  </si>
  <si>
    <t>161-38</t>
  </si>
  <si>
    <t>maria.corrales@upme.gov.co</t>
  </si>
  <si>
    <t>paulacorrales2001@hotmail.com</t>
  </si>
  <si>
    <t xml:space="preserve">https://community.secop.gov.co/Public/Tendering/ContractNoticePhases/View?PPI=CO1.PPI.37068444&amp;isFromPublicArea=True&amp;isModal=False
</t>
  </si>
  <si>
    <t>DIRECTA 158-2025</t>
  </si>
  <si>
    <t>161-8</t>
  </si>
  <si>
    <t>alejandra.jimenez@upme.gov.co</t>
  </si>
  <si>
    <t>jaleja262@gmail.com</t>
  </si>
  <si>
    <t xml:space="preserve">https://community.secop.gov.co/Public/Tendering/ContractNoticePhases/View?PPI=CO1.PPI.37060815&amp;isFromPublicArea=True&amp;isModal=False
</t>
  </si>
  <si>
    <t>DIRECTA 159-2025</t>
  </si>
  <si>
    <t>161-56</t>
  </si>
  <si>
    <t>CAPITAL SALUD</t>
  </si>
  <si>
    <t>QUETAME-CUNDINAMARCA</t>
  </si>
  <si>
    <t>yeimy.acosta@upme.gov.co</t>
  </si>
  <si>
    <t>yeimyacosta85@gmail.com</t>
  </si>
  <si>
    <t xml:space="preserve">https://community.secop.gov.co/Public/Tendering/ContractNoticePhases/View?PPI=CO1.PPI.37058755&amp;isFromPublicArea=True&amp;isModal=False
</t>
  </si>
  <si>
    <t>rodolfo.ruiz@upme.gov.co</t>
  </si>
  <si>
    <t>30/01/2025
03/02/2025</t>
  </si>
  <si>
    <t>DIRECTA 160-2025</t>
  </si>
  <si>
    <t>161-52</t>
  </si>
  <si>
    <t>alejandra.sandoval@upme.gov.co</t>
  </si>
  <si>
    <t>alejasan1203@hotmail.com</t>
  </si>
  <si>
    <t xml:space="preserve">https://community.secop.gov.co/Public/Tendering/ContractNoticePhases/View?PPI=CO1.PPI.37059548&amp;isFromPublicArea=True&amp;isModal=False
</t>
  </si>
  <si>
    <t>901.561.193-8</t>
  </si>
  <si>
    <t>DIRECTA 161-2025</t>
  </si>
  <si>
    <t>111-5</t>
  </si>
  <si>
    <t>contratos.vcars@gmail.com</t>
  </si>
  <si>
    <t>DIRECTA 162-2025</t>
  </si>
  <si>
    <t>161-11</t>
  </si>
  <si>
    <t>BOGOTA FC</t>
  </si>
  <si>
    <t>carlos.molina@upme.gov.co</t>
  </si>
  <si>
    <t>carlosmolina9710@gmail.com</t>
  </si>
  <si>
    <t xml:space="preserve">https://community.secop.gov.co/Public/Tendering/ContractNoticePhases/View?PPI=CO1.PPI.37062456&amp;isFromPublicArea=True&amp;isModal=False
</t>
  </si>
  <si>
    <t>DIRECTA 163-2025</t>
  </si>
  <si>
    <t>161-6</t>
  </si>
  <si>
    <t>BUCARAMANGA-SANTANDER</t>
  </si>
  <si>
    <t>nicolas.marin@upme.gov.co</t>
  </si>
  <si>
    <t>nicolas.marin.pinzon@gmail.com</t>
  </si>
  <si>
    <t xml:space="preserve">https://community.secop.gov.co/Public/Tendering/ContractNoticePhases/View?PPI=CO1.PPI.37067303&amp;isFromPublicArea=True&amp;isModal=False
</t>
  </si>
  <si>
    <t>DIRECTA 164-2025</t>
  </si>
  <si>
    <t>150-50</t>
  </si>
  <si>
    <t>TENJO-CUNDIMARCA</t>
  </si>
  <si>
    <t>felipe.rodriguez@upme.gov.co</t>
  </si>
  <si>
    <t xml:space="preserve">	felipe.rt.rt@gmail.com</t>
  </si>
  <si>
    <t xml:space="preserve">https://community.secop.gov.co/Public/Tendering/ContractNoticePhases/View?PPI=CO1.PPI.37068870&amp;isFromPublicArea=True&amp;isModal=False
</t>
  </si>
  <si>
    <t>luz.duque@upme.gov.co</t>
  </si>
  <si>
    <t>DIRECTA 165-2025</t>
  </si>
  <si>
    <t>161-19</t>
  </si>
  <si>
    <t>MEDELLIN-ANTIOQUIA</t>
  </si>
  <si>
    <t>isabel.sierra@upme.gov.co</t>
  </si>
  <si>
    <t>isabelsierrauribe@hotmail.com</t>
  </si>
  <si>
    <t xml:space="preserve">https://community.secop.gov.co/Public/Tendering/ContractNoticePhases/View?PPI=CO1.PPI.37071435&amp;isFromPublicArea=True&amp;isModal=False
</t>
  </si>
  <si>
    <t>jaime.andrade@upme.gov.co</t>
  </si>
  <si>
    <t>DIRECTA 166-2025</t>
  </si>
  <si>
    <t>161-12</t>
  </si>
  <si>
    <t>MANIZALES-CALDAS</t>
  </si>
  <si>
    <t>juan.gonzalez@upme.gov.co</t>
  </si>
  <si>
    <t xml:space="preserve">	judgonzalezar@unal.edu.co,</t>
  </si>
  <si>
    <t xml:space="preserve">https://community.secop.gov.co/Public/Tendering/ContractNoticePhases/View?PPI=CO1.PPI.37163779&amp;isFromPublicArea=True&amp;isModal=False
</t>
  </si>
  <si>
    <t>DIRECTA 167-2025</t>
  </si>
  <si>
    <t>161-9</t>
  </si>
  <si>
    <t>VENEZUELA</t>
  </si>
  <si>
    <t>javier.chacon@upme.gov.co</t>
  </si>
  <si>
    <t xml:space="preserve">	javierchacon369@gmail.com</t>
  </si>
  <si>
    <t xml:space="preserve">https://community.secop.gov.co/Public/Tendering/ContractNoticePhases/View?PPI=CO1.PPI.37075769&amp;isFromPublicArea=True&amp;isModal=False
</t>
  </si>
  <si>
    <t>DIRECTA 168-2025</t>
  </si>
  <si>
    <t>100- 34</t>
  </si>
  <si>
    <t>leidy.vera@upme.gov.co</t>
  </si>
  <si>
    <t xml:space="preserve">	leidyvera76@gmail.com</t>
  </si>
  <si>
    <t xml:space="preserve">https://community.secop.gov.co/Public/Tendering/ContractNoticePhases/View?PPI=CO1.PPI.37099173&amp;isFromPublicArea=True&amp;isModal=False
</t>
  </si>
  <si>
    <t>DIRECTA 169-2025</t>
  </si>
  <si>
    <t>100-32</t>
  </si>
  <si>
    <t>daniela.uribe@upme.gov.co</t>
  </si>
  <si>
    <t>danielauribe4@gmail.com</t>
  </si>
  <si>
    <t xml:space="preserve">https://community.secop.gov.co/Public/Tendering/ContractNoticePhases/View?PPI=CO1.PPI.37093070&amp;isFromPublicArea=True&amp;isModal=False
</t>
  </si>
  <si>
    <t>DIRECTA 170-2025</t>
  </si>
  <si>
    <t>100- 46</t>
  </si>
  <si>
    <t>andres.duarte@upme.gov.co</t>
  </si>
  <si>
    <t>afduarte@utp.edu.co</t>
  </si>
  <si>
    <t xml:space="preserve">https://community.secop.gov.co/Public/Tendering/ContractNoticePhases/View?PPI=CO1.PPI.37094639&amp;isFromPublicArea=True&amp;isModal=False
</t>
  </si>
  <si>
    <t>DIRECTA 171-2025</t>
  </si>
  <si>
    <t>150-29</t>
  </si>
  <si>
    <t>POPAYAN-CAUCA</t>
  </si>
  <si>
    <t>alejandra.gonzalez@upme.gov.co</t>
  </si>
  <si>
    <t>alejandra1410@hotmail.com</t>
  </si>
  <si>
    <t xml:space="preserve">https://community.secop.gov.co/Public/Tendering/ContractNoticePhases/View?PPI=CO1.PPI.37104129&amp;isFromPublicArea=True&amp;isModal=False
</t>
  </si>
  <si>
    <t>sergio.pastrana@upme.gov.co</t>
  </si>
  <si>
    <t>CO1.PCCNTR.7378169</t>
  </si>
  <si>
    <t>RECHAZADO</t>
  </si>
  <si>
    <t>JULIAN SANABRIA TORRES</t>
  </si>
  <si>
    <t>DIRECTA 172-2025</t>
  </si>
  <si>
    <t>150-26 y 150-27</t>
  </si>
  <si>
    <t>DIRECTA 173-2025</t>
  </si>
  <si>
    <t>170-13</t>
  </si>
  <si>
    <t>paula.gamba@upme.gov.co</t>
  </si>
  <si>
    <t xml:space="preserve">	laura.sierra1212@gmail.com</t>
  </si>
  <si>
    <t xml:space="preserve">https://community.secop.gov.co/Public/Tendering/ContractNoticePhases/View?PPI=CO1.PPI.37175743&amp;isFromPublicArea=True&amp;isModal=False
</t>
  </si>
  <si>
    <t>santiago.hurtado@upme.gov.co</t>
  </si>
  <si>
    <t>DIRECTA 174-2025</t>
  </si>
  <si>
    <t>130-21</t>
  </si>
  <si>
    <t>MONTERIA-CORDOBA</t>
  </si>
  <si>
    <t>sebastian.martinez@upme.gov.co</t>
  </si>
  <si>
    <t xml:space="preserve">	sebastianmartinezpetro2004@gmail.com</t>
  </si>
  <si>
    <t xml:space="preserve">https://community.secop.gov.co/Public/Tendering/ContractNoticePhases/View?PPI=CO1.PPI.37151778&amp;isFromPublicArea=True&amp;isModal=False
</t>
  </si>
  <si>
    <t>DIRECTA 175-2025</t>
  </si>
  <si>
    <t>150-44</t>
  </si>
  <si>
    <t>cristhian.gonzalez@upme.gov.co</t>
  </si>
  <si>
    <t>cristian_cgg@hotmail.com</t>
  </si>
  <si>
    <t xml:space="preserve">https://community.secop.gov.co/Public/Tendering/ContractNoticePhases/View?PPI=CO1.PPI.37161598&amp;isFromPublicArea=True&amp;isModal=False
</t>
  </si>
  <si>
    <t>edgar.muela@upme.gov.co</t>
  </si>
  <si>
    <t>DIRECTA 176-2025</t>
  </si>
  <si>
    <t>101-3, 101-18 y 110-17</t>
  </si>
  <si>
    <t>jessica.murcia@upme.gov.co</t>
  </si>
  <si>
    <t>jessica.murcia855@esap.gov.co</t>
  </si>
  <si>
    <t xml:space="preserve">https://community.secop.gov.co/Public/Tendering/ContractNoticePhases/View?PPI=CO1.PPI.37164028&amp;isFromPublicArea=True&amp;isModal=False
</t>
  </si>
  <si>
    <t>DIRECTA 177-2025</t>
  </si>
  <si>
    <t>101-2 y 101-20</t>
  </si>
  <si>
    <t>maria.patino@upme.gov.co</t>
  </si>
  <si>
    <t>patinogutierrezmariajose@gmail.com</t>
  </si>
  <si>
    <t xml:space="preserve">https://community.secop.gov.co/Public/Tendering/ContractNoticePhases/View?PPI=CO1.PPI.37184964&amp;isFromPublicArea=True&amp;isModal=False
</t>
  </si>
  <si>
    <t>luz.vela@upme.gov.co</t>
  </si>
  <si>
    <t>DIRECTA 178-2025</t>
  </si>
  <si>
    <t>131-32</t>
  </si>
  <si>
    <t>LORICA-CORDOBA</t>
  </si>
  <si>
    <t>jesus.sanchez@upme.gov.co</t>
  </si>
  <si>
    <t>jesussanchezd@hotmail.es</t>
  </si>
  <si>
    <t xml:space="preserve">https://community.secop.gov.co/Public/Tendering/ContractNoticePhases/View?PPI=CO1.PPI.37179300&amp;isFromPublicArea=True&amp;isModal=False
</t>
  </si>
  <si>
    <t>DIRECTA 179-2025</t>
  </si>
  <si>
    <t>131-31</t>
  </si>
  <si>
    <t>alejo-rodriguez30@live.com</t>
  </si>
  <si>
    <t>DIRECTA 180-2025</t>
  </si>
  <si>
    <t>131-2</t>
  </si>
  <si>
    <t>armando.bossio@upme.gov.co</t>
  </si>
  <si>
    <t>ajose5945@gmail.com</t>
  </si>
  <si>
    <t xml:space="preserve">https://community.secop.gov.co/Public/Tendering/ContractNoticePhases/View?PPI=CO1.PPI.37179256&amp;isFromPublicArea=True&amp;isModal=False
</t>
  </si>
  <si>
    <t>DIRECTA 181-2025</t>
  </si>
  <si>
    <t>150-18</t>
  </si>
  <si>
    <t>wilmer.guzman@upme.gov.co</t>
  </si>
  <si>
    <t xml:space="preserve">	wilmer.guzman92@gmail.com</t>
  </si>
  <si>
    <t xml:space="preserve">https://community.secop.gov.co/Public/Tendering/ContractNoticePhases/View?PPI=CO1.PPI.37181613&amp;isFromPublicArea=True&amp;isModal=False
</t>
  </si>
  <si>
    <t>DIRECTA 182-2025</t>
  </si>
  <si>
    <t>150-31</t>
  </si>
  <si>
    <t>estefany.osorio@upme.gov.co</t>
  </si>
  <si>
    <t xml:space="preserve">	teffyosorio26@gmail.com</t>
  </si>
  <si>
    <t xml:space="preserve">https://community.secop.gov.co/Public/Tendering/ContractNoticePhases/View?PPI=CO1.PPI.37197421&amp;isFromPublicArea=True&amp;isModal=False
</t>
  </si>
  <si>
    <t>diana.serrano@upme.gov.co</t>
  </si>
  <si>
    <t>DIRECTA 183-2025</t>
  </si>
  <si>
    <t>150-30</t>
  </si>
  <si>
    <t>yenifer.angel@upme.gov.co</t>
  </si>
  <si>
    <t>yeniferangel.wes@gmail.com</t>
  </si>
  <si>
    <t xml:space="preserve">https://community.secop.gov.co/Public/Tendering/ContractNoticePhases/View?PPI=CO1.PPI.37247044&amp;isFromPublicArea=True&amp;isModal=False
</t>
  </si>
  <si>
    <t>DIRECTA 184-2025</t>
  </si>
  <si>
    <t>150-19</t>
  </si>
  <si>
    <t>angie.castaneda@upme.gov.co</t>
  </si>
  <si>
    <t>tatiana.castaneda26@gmail.com</t>
  </si>
  <si>
    <t xml:space="preserve">https://community.secop.gov.co/Public/Tendering/ContractNoticePhases/View?PPI=CO1.PPI.37196655&amp;isFromPublicArea=True&amp;isModal=False
</t>
  </si>
  <si>
    <t>DIRECTA 185-2025</t>
  </si>
  <si>
    <t>160-1</t>
  </si>
  <si>
    <t>EL TAMBO-NARIÑO</t>
  </si>
  <si>
    <t>maryeni.enriquez@upme.gov.co</t>
  </si>
  <si>
    <t xml:space="preserve">	mkenriqueze@gmail.com</t>
  </si>
  <si>
    <t xml:space="preserve">https://community.secop.gov.co/Public/Tendering/ContractNoticePhases/View?PPI=CO1.PPI.37218647&amp;isFromPublicArea=True&amp;isModal=False
</t>
  </si>
  <si>
    <t>DIRECTA 186-2025</t>
  </si>
  <si>
    <t>150-23</t>
  </si>
  <si>
    <t>INGENIERO ELECTRICISSTA</t>
  </si>
  <si>
    <t>jose.barajas@upme.gov.co</t>
  </si>
  <si>
    <t>barajasjosean@hotmail.com</t>
  </si>
  <si>
    <t xml:space="preserve">https://community.secop.gov.co/Public/Tendering/ContractNoticePhases/View?PPI=CO1.PPI.37192016&amp;isFromPublicArea=True&amp;isModal=False
</t>
  </si>
  <si>
    <t>DIRECTA 187-2025</t>
  </si>
  <si>
    <t>150-58</t>
  </si>
  <si>
    <t xml:space="preserve">	l.cifuentes14@gmail.com</t>
  </si>
  <si>
    <t>DIRECTA 188-2025</t>
  </si>
  <si>
    <t>160-6</t>
  </si>
  <si>
    <t>paula.riveros@upme.gov.co</t>
  </si>
  <si>
    <t>paula1601.pnrm@gmail.com</t>
  </si>
  <si>
    <t xml:space="preserve">https://community.secop.gov.co/Public/Tendering/ContractNoticePhases/View?PPI=CO1.PPI.37205555&amp;isFromPublicArea=True&amp;isModal=False
</t>
  </si>
  <si>
    <t>DIRECTA 189-2025</t>
  </si>
  <si>
    <t>150-35</t>
  </si>
  <si>
    <t>david.monroy@upme.gov.co</t>
  </si>
  <si>
    <t>andmon776@gmail.com</t>
  </si>
  <si>
    <t xml:space="preserve">https://community.secop.gov.co/Public/Tendering/ContractNoticePhases/View?PPI=CO1.PPI.37248222&amp;isFromPublicArea=True&amp;isModal=False
</t>
  </si>
  <si>
    <t>DIRECTA 190-2025</t>
  </si>
  <si>
    <t>150-51</t>
  </si>
  <si>
    <t>juan.alvarado@upme.gov.co</t>
  </si>
  <si>
    <t>juanfealvarador@gmail.com</t>
  </si>
  <si>
    <t xml:space="preserve">https://community.secop.gov.co/Public/Tendering/ContractNoticePhases/View?PPI=CO1.PPI.37249724&amp;isFromPublicArea=True&amp;isModal=False
</t>
  </si>
  <si>
    <t>sergio.cubillos@upme.gov.co</t>
  </si>
  <si>
    <t>DIRECTA 191-2025</t>
  </si>
  <si>
    <t>150-52</t>
  </si>
  <si>
    <t>TUNJA- BOYACA</t>
  </si>
  <si>
    <t>marcella.velasco@upme.gov.co</t>
  </si>
  <si>
    <t>marcvelascomarino@gmail.com</t>
  </si>
  <si>
    <t xml:space="preserve">https://community.secop.gov.co/Public/Tendering/ContractNoticePhases/View?PPI=CO1.PPI.37248299&amp;isFromPublicArea=True&amp;isModal=False
</t>
  </si>
  <si>
    <t>DIRECTA 192-2025</t>
  </si>
  <si>
    <t>150-53</t>
  </si>
  <si>
    <t>SOACHA-CUNDINAMARCA</t>
  </si>
  <si>
    <t>david.sanchez@upme.gov.co</t>
  </si>
  <si>
    <t>davidandru@hotmail.com</t>
  </si>
  <si>
    <t xml:space="preserve">https://community.secop.gov.co/Public/Tendering/ContractNoticePhases/View?PPI=CO1.PPI.37250020&amp;isFromPublicArea=True&amp;isModal=False
</t>
  </si>
  <si>
    <t>enrique.cifuentes@upme.gov.co</t>
  </si>
  <si>
    <t>DIRECTA 193-2025</t>
  </si>
  <si>
    <t>150-32</t>
  </si>
  <si>
    <t>cristian.fonseca@upme.gov.co</t>
  </si>
  <si>
    <t>fonsecaccing@gmail.com</t>
  </si>
  <si>
    <t xml:space="preserve">https://community.secop.gov.co/Public/Tendering/ContractNoticePhases/View?PPI=CO1.PPI.37214534&amp;isFromPublicArea=True&amp;isModal=False
</t>
  </si>
  <si>
    <t>CO1.PCCNTR.7411239</t>
  </si>
  <si>
    <t>SERGIO ANDRES MARTINEZ FIGUEROA</t>
  </si>
  <si>
    <t>DIRECTA 194-2025</t>
  </si>
  <si>
    <t>150-59</t>
  </si>
  <si>
    <t>DIRECTA 195-2025</t>
  </si>
  <si>
    <t>150-33</t>
  </si>
  <si>
    <t>francisco.toro@upme.gov.co</t>
  </si>
  <si>
    <t>francisco.torozea@gmail.com</t>
  </si>
  <si>
    <t xml:space="preserve">https://community.secop.gov.co/Public/Tendering/ContractNoticePhases/View?PPI=CO1.PPI.37218428&amp;isFromPublicArea=True&amp;isModal=False
</t>
  </si>
  <si>
    <t>DIRECTA 196-2025</t>
  </si>
  <si>
    <t>100-37</t>
  </si>
  <si>
    <t>SOATA-BOYACA</t>
  </si>
  <si>
    <t>daniel.gomez@upme.gov.co</t>
  </si>
  <si>
    <t>dangomez0724@gmail.com</t>
  </si>
  <si>
    <t xml:space="preserve">https://community.secop.gov.co/Public/Tendering/ContractNoticePhases/View?PPI=CO1.PPI.37208045&amp;isFromPublicArea=True&amp;isModal=False
</t>
  </si>
  <si>
    <t>DIRECTA 197-2025</t>
  </si>
  <si>
    <t>140-9</t>
  </si>
  <si>
    <t>camilo.tovar@upme.gov.co</t>
  </si>
  <si>
    <t>camilotovar.ana@gmail.com</t>
  </si>
  <si>
    <t xml:space="preserve">https://community.secop.gov.co/Public/Tendering/ContractNoticePhases/View?PPI=CO1.PPI.37212736&amp;isFromPublicArea=True&amp;isModal=False
</t>
  </si>
  <si>
    <t>DIRECTA 198-2025</t>
  </si>
  <si>
    <t>150-54</t>
  </si>
  <si>
    <t>AXA</t>
  </si>
  <si>
    <t>BOGOTA</t>
  </si>
  <si>
    <t>leidy.galindo@upme.gov.co</t>
  </si>
  <si>
    <t>johana.glue@gmail.com</t>
  </si>
  <si>
    <t xml:space="preserve">https://community.secop.gov.co/Public/Tendering/ContractNoticePhases/View?PPI=CO1.PPI.37251130&amp;isFromPublicArea=True&amp;isModal=False
</t>
  </si>
  <si>
    <t>DIRECTA 199-2025</t>
  </si>
  <si>
    <t>131-4</t>
  </si>
  <si>
    <t>VILLAPINZON CUNDINAMARCA</t>
  </si>
  <si>
    <t>fabian.garzon@upme.gov.co</t>
  </si>
  <si>
    <t>fagarzonga@unal.edu.co</t>
  </si>
  <si>
    <t xml:space="preserve">https://community.secop.gov.co/Public/Tendering/ContractNoticePhases/View?PPI=CO1.PPI.37234898&amp;isFromPublicArea=True&amp;isModal=False
</t>
  </si>
  <si>
    <t>jorge.forero@upme.gov.co</t>
  </si>
  <si>
    <t>DIRECTA 200-2025</t>
  </si>
  <si>
    <t>131-9</t>
  </si>
  <si>
    <t>MAGANGUE-BOLIVAR</t>
  </si>
  <si>
    <t>juan.dominguez@upme.gov.co</t>
  </si>
  <si>
    <t xml:space="preserve">	juandominguez94@hotmail.com</t>
  </si>
  <si>
    <t xml:space="preserve">https://community.secop.gov.co/Public/Tendering/ContractNoticePhases/View?PPI=CO1.PPI.37234167&amp;isFromPublicArea=True&amp;isModal=False
</t>
  </si>
  <si>
    <t>CO1.PCCNTR.7437100</t>
  </si>
  <si>
    <t>PERISCOPIO CASA EDITORIAL</t>
  </si>
  <si>
    <t>20251000010213
Nos remiten documentos nuevamente 17/03/2025.  Detenido por el Director 19/03/2025.</t>
  </si>
  <si>
    <t>DIRECTA 201-2025</t>
  </si>
  <si>
    <t>r</t>
  </si>
  <si>
    <t>100-55</t>
  </si>
  <si>
    <t>Prestación de servicios editoriales para el desarrollo de publicaciones
impresas y virtuales para la integración del Enfoque Territorial y la inteligencia artificial en la
Transición Energética Justa intensiva en conocimiento.</t>
  </si>
  <si>
    <t xml:space="preserve">gerencia@periscopiocasaeditorial.com
</t>
  </si>
  <si>
    <t>DIRECTA 202-2025</t>
  </si>
  <si>
    <t>161-39</t>
  </si>
  <si>
    <t>jannluck.canosa@upme.gov.co</t>
  </si>
  <si>
    <t>canosa.jannluck@gmail.com</t>
  </si>
  <si>
    <t>https://community.secop.gov.co/Public/Tendering/ContractNoticePhases/View?PPI=CO1.PPI.37276170&amp;isFromPublicArea=True&amp;isModal=False</t>
  </si>
  <si>
    <t>DIRECTA 203-2025</t>
  </si>
  <si>
    <t>161-43</t>
  </si>
  <si>
    <t>nasly.lopez@upme.gov.co</t>
  </si>
  <si>
    <t>NASLYLOPEZCO@gmail.com</t>
  </si>
  <si>
    <t xml:space="preserve">https://community.secop.gov.co/Public/Tendering/ContractNoticePhases/View?PPI=CO1.PPI.37260696&amp;isFromPublicArea=True&amp;isModal=False
</t>
  </si>
  <si>
    <t>DIRECTA 204-2025</t>
  </si>
  <si>
    <t>160-2</t>
  </si>
  <si>
    <t>ANGOSTURA-ANTIOQUIA</t>
  </si>
  <si>
    <t>daniel.restrepo@upme.gov.co</t>
  </si>
  <si>
    <t xml:space="preserve">	djrestrepos@gmail.com</t>
  </si>
  <si>
    <t xml:space="preserve">https://community.secop.gov.co/Public/Tendering/ContractNoticePhases/View?PPI=CO1.PPI.37270282&amp;isFromPublicArea=True&amp;isModal=False
</t>
  </si>
  <si>
    <t>DIRECTA 205-2025</t>
  </si>
  <si>
    <t>161-3</t>
  </si>
  <si>
    <t>cindy.montanez@upme.gov.co</t>
  </si>
  <si>
    <t>cindymontanezg@gmail.com</t>
  </si>
  <si>
    <t xml:space="preserve">https://community.secop.gov.co/Public/Tendering/ContractNoticePhases/View?PPI=CO1.PPI.37349894&amp;isFromPublicArea=True&amp;isModal=False
</t>
  </si>
  <si>
    <t>DIRECTA 206-2025</t>
  </si>
  <si>
    <t>150-1</t>
  </si>
  <si>
    <t>nicole.arias@upme.gov.co</t>
  </si>
  <si>
    <t xml:space="preserve">	nicolenatalia.arias@gmail.com</t>
  </si>
  <si>
    <t xml:space="preserve">https://community.secop.gov.co/Public/Tendering/ContractNoticePhases/View?PPI=CO1.PPI.37259166&amp;isFromPublicArea=True&amp;isModal=False
</t>
  </si>
  <si>
    <t>DIRECTA 207-2025</t>
  </si>
  <si>
    <t>161-30</t>
  </si>
  <si>
    <t>maria.caceres@upme.gov.co</t>
  </si>
  <si>
    <t>ingmajica@gmail.com</t>
  </si>
  <si>
    <t>https://community.secop.gov.co/Public/Tendering/ContractNoticePhases/View?PPI=CO1.PPI.37257346&amp;isFromPublicArea=True&amp;isModal=False</t>
  </si>
  <si>
    <t>DIRECTA 208-2025</t>
  </si>
  <si>
    <t>170-22</t>
  </si>
  <si>
    <t>carlos.saenz@upme.gov.co</t>
  </si>
  <si>
    <t>carlosaenz.26@hotmail.com</t>
  </si>
  <si>
    <t>$17.239.950</t>
  </si>
  <si>
    <t>https://community.secop.gov.co/Public/Tendering/ContractNoticePhases/View?PPI=CO1.PPI.37280603&amp;isFromPublicArea=True&amp;isModal=False</t>
  </si>
  <si>
    <t>grigory.massy@upme.gov.co</t>
  </si>
  <si>
    <t>DIRECTA 209-2025.</t>
  </si>
  <si>
    <t>170-9</t>
  </si>
  <si>
    <t>PROTECION</t>
  </si>
  <si>
    <t>diana.arias@upme.gov.co</t>
  </si>
  <si>
    <t>monicas.lasso@gmail.com</t>
  </si>
  <si>
    <t xml:space="preserve">https://community.secop.gov.co/Public/Tendering/ContractNoticePhases/View?PPI=CO1.PPI.37334788&amp;isFromPublicArea=True&amp;isModal=False
</t>
  </si>
  <si>
    <t>DIRECTA 210-2025</t>
  </si>
  <si>
    <t>100-8</t>
  </si>
  <si>
    <t>monica.castaneda@upme.gov.co</t>
  </si>
  <si>
    <t xml:space="preserve">	dianacariasb@gmail.com</t>
  </si>
  <si>
    <t>https://community.secop.gov.co/Public/Tendering/ContractNoticePhases/View?PPI=CO1.PPI.37336033&amp;isFromPublicArea=True&amp;isModal=False</t>
  </si>
  <si>
    <t>830.042.244-1</t>
  </si>
  <si>
    <t>DIRECTA 211-2025</t>
  </si>
  <si>
    <t>130-48</t>
  </si>
  <si>
    <t xml:space="preserve">KatherineS@digitalware.com.co
</t>
  </si>
  <si>
    <t>KatherineS@digitalware.com.co</t>
  </si>
  <si>
    <t xml:space="preserve">https://community.secop.gov.co/Public/Tendering/ContractNoticePhases/View?PPI=CO1.PPI.37266569&amp;isFromPublicArea=True&amp;isModal=False
</t>
  </si>
  <si>
    <t>MARZO</t>
  </si>
  <si>
    <t>DIRECTA 212-2025</t>
  </si>
  <si>
    <t>100-43</t>
  </si>
  <si>
    <t>david.guevara@upme.gov.co</t>
  </si>
  <si>
    <t>guevaramontana@gmail.com</t>
  </si>
  <si>
    <t xml:space="preserve">https://community.secop.gov.co/Public/Tendering/ContractNoticePhases/View?PPI=CO1.PPI.37366242&amp;isFromPublicArea=True&amp;isModal=False
</t>
  </si>
  <si>
    <t>DIRECTA 213-2025</t>
  </si>
  <si>
    <t>161-10</t>
  </si>
  <si>
    <t>OCAÑA-NORTE DE SANTANDER</t>
  </si>
  <si>
    <t>emmanuel.manzano@upme.gov.co</t>
  </si>
  <si>
    <t xml:space="preserve">	emjomanver@gmail.com</t>
  </si>
  <si>
    <t>https://community.secop.gov.co/Public/Tendering/ContractNoticePhases/View?PPI=CO1.PPI.37303696&amp;isFromPublicArea=True&amp;isModal=False</t>
  </si>
  <si>
    <t>DIRECTA 214-2025</t>
  </si>
  <si>
    <t>100-27</t>
  </si>
  <si>
    <t>claudia.chaves@upme.gov.co</t>
  </si>
  <si>
    <t xml:space="preserve">	claudiapatriciachavesvi@gmail.com</t>
  </si>
  <si>
    <t xml:space="preserve">https://community.secop.gov.co/Public/Tendering/ContractNoticePhases/View?PPI=CO1.PPI.37336098&amp;isFromPublicArea=True&amp;isModal=False
</t>
  </si>
  <si>
    <t>DIRECTA 215-2025</t>
  </si>
  <si>
    <t>100-50</t>
  </si>
  <si>
    <t>FACATATIVA</t>
  </si>
  <si>
    <t>juan.palacios@upme.gov.co</t>
  </si>
  <si>
    <t>jdpalacioss@unal.edu.co</t>
  </si>
  <si>
    <t xml:space="preserve">https://community.secop.gov.co/Public/Tendering/ContractNoticePhases/View?PPI=CO1.PPI.37367946&amp;isFromPublicArea=True&amp;isModal=False
</t>
  </si>
  <si>
    <t>DIRECTA 216-2025</t>
  </si>
  <si>
    <t>100-22</t>
  </si>
  <si>
    <t>luisa.vargas@upme.gov.co</t>
  </si>
  <si>
    <t xml:space="preserve">	lfvargas89@gmail.com</t>
  </si>
  <si>
    <t>$48.000.000</t>
  </si>
  <si>
    <t xml:space="preserve">https://community.secop.gov.co/Public/Tendering/ContractNoticePhases/View?PPI=CO1.PPI.37336652&amp;isFromPublicArea=True&amp;isModal=False
</t>
  </si>
  <si>
    <t>DIRECTA 217-2025</t>
  </si>
  <si>
    <t>101-16</t>
  </si>
  <si>
    <t>BARANIA-ATLANTICO</t>
  </si>
  <si>
    <t>camila.otero@upme.gov.co</t>
  </si>
  <si>
    <t>camilaoteroll@hotmail.com</t>
  </si>
  <si>
    <t xml:space="preserve">https://community.secop.gov.co/Public/Tendering/ContractNoticePhases/View?PPI=CO1.PPI.37388466&amp;isFromPublicArea=True&amp;isModal=False
</t>
  </si>
  <si>
    <t>DIRECTA 218-2025</t>
  </si>
  <si>
    <t>170-16/170-26/100-41/100-44</t>
  </si>
  <si>
    <t>ROLDANILLO-VALLE</t>
  </si>
  <si>
    <t>claudia.gomez@upme.gov.co</t>
  </si>
  <si>
    <t>clau.gomez1012@gmail.com</t>
  </si>
  <si>
    <t xml:space="preserve">https://community.secop.gov.co/Public/Tendering/ContractNoticePhases/View?PPI=CO1.PPI.37440940&amp;isFromPublicArea=True&amp;isModal=False
</t>
  </si>
  <si>
    <t>DIRECTA 219-2025</t>
  </si>
  <si>
    <t>131-1</t>
  </si>
  <si>
    <t>sofia.sanchez@upme.gov.co</t>
  </si>
  <si>
    <t>sofi.sanchezgr@gmail.com</t>
  </si>
  <si>
    <t xml:space="preserve">https://community.secop.gov.co/Public/Tendering/ContractNoticePhases/View?PPI=CO1.PPI.37427844&amp;isFromPublicArea=True&amp;isModal=False
</t>
  </si>
  <si>
    <t>javier.figueroa@upme.gov.co</t>
  </si>
  <si>
    <t>DIRECTA 220-2025</t>
  </si>
  <si>
    <t>161-26</t>
  </si>
  <si>
    <t>PALMIRA-VALLE</t>
  </si>
  <si>
    <t>jenny.ibarguen@upme.gov.co</t>
  </si>
  <si>
    <t>ylibarguenv@unal.edu.co</t>
  </si>
  <si>
    <t xml:space="preserve">https://community.secop.gov.co/Public/Tendering/ContractNoticePhases/View?PPI=CO1.PPI.37444790&amp;isFromPublicArea=True&amp;isModal=False
</t>
  </si>
  <si>
    <t>DIRECTA 221-2025</t>
  </si>
  <si>
    <t>161-34</t>
  </si>
  <si>
    <t>cristian.blanco@upme.gov.co</t>
  </si>
  <si>
    <t>cblancom97@gmail.com</t>
  </si>
  <si>
    <t xml:space="preserve">https://community.secop.gov.co/Public/Tendering/ContractNoticePhases/View?PPI=CO1.PPI.37447302&amp;isFromPublicArea=True&amp;isModal=False
</t>
  </si>
  <si>
    <t>DIRECTA 222-2025</t>
  </si>
  <si>
    <t>161-31</t>
  </si>
  <si>
    <t>andrea.lache@upme.gov.co</t>
  </si>
  <si>
    <t xml:space="preserve">	ingandrealache@gmail.com</t>
  </si>
  <si>
    <t xml:space="preserve">https://community.secop.gov.co/Public/Tendering/ContractNoticePhases/View?PPI=CO1.PPI.37442101&amp;isFromPublicArea=True&amp;isModal=False
</t>
  </si>
  <si>
    <t>DIRECTA 223-2025</t>
  </si>
  <si>
    <t>100-1</t>
  </si>
  <si>
    <t>TUNJA-BOYACA</t>
  </si>
  <si>
    <t>maria.becerra@upme.gov.co</t>
  </si>
  <si>
    <t xml:space="preserve">	ing.mariabecerra.sst@gmail.com</t>
  </si>
  <si>
    <t xml:space="preserve">https://community.secop.gov.co/Public/Tendering/ContractNoticePhases/View?PPI=CO1.PPI.37469756&amp;isFromPublicArea=True&amp;isModal=False
</t>
  </si>
  <si>
    <t>20251000011093
20251000011183</t>
  </si>
  <si>
    <t>DIRECTA 224-2025</t>
  </si>
  <si>
    <t>100-2</t>
  </si>
  <si>
    <t>manuel.sierra@upme.gov.co</t>
  </si>
  <si>
    <t xml:space="preserve">	ingeosantiago@gmail.com</t>
  </si>
  <si>
    <t xml:space="preserve">https://community.secop.gov.co/Public/Tendering/ContractNoticePhases/View?PPI=CO1.PPI.37463936&amp;isFromPublicArea=True&amp;isModal=False
</t>
  </si>
  <si>
    <t>2025114140000229E</t>
  </si>
  <si>
    <t>DIRECTA 225-2025</t>
  </si>
  <si>
    <t>161-13</t>
  </si>
  <si>
    <t>lady.giraldo@upme.gov.co</t>
  </si>
  <si>
    <t>carolinagiraldobello8@gmail.com</t>
  </si>
  <si>
    <t xml:space="preserve">https://community.secop.gov.co/Public/Tendering/ContractNoticePhases/View?PPI=CO1.PPI.37459827&amp;isFromPublicArea=True&amp;isModal=False
</t>
  </si>
  <si>
    <t>CO1.PCCNTR.7488260</t>
  </si>
  <si>
    <t>JULIO ANDRE BERNAL RUBIANO</t>
  </si>
  <si>
    <t>DIRECTA 226-2025</t>
  </si>
  <si>
    <t>131-42</t>
  </si>
  <si>
    <t>ABRIL</t>
  </si>
  <si>
    <t>20251000011263
20251000011943</t>
  </si>
  <si>
    <t>14/02/2025
18/02/2025</t>
  </si>
  <si>
    <t>DIRECTA 227-2025</t>
  </si>
  <si>
    <t>100-13</t>
  </si>
  <si>
    <t>sonia.angel@upme.gov.co</t>
  </si>
  <si>
    <t xml:space="preserve">	spangel66@gmail.com</t>
  </si>
  <si>
    <t xml:space="preserve">https://community.secop.gov.co/Public/Tendering/ContractNoticePhases/View?PPI=CO1.PPI.37594704&amp;isFromPublicArea=True&amp;isModal=False
</t>
  </si>
  <si>
    <t>14/02/2025
19/02/2025</t>
  </si>
  <si>
    <t>20251000011303
20251000012143</t>
  </si>
  <si>
    <t>DIRECTA 228-2025</t>
  </si>
  <si>
    <t>100-39</t>
  </si>
  <si>
    <t>VICTORIA-CALDAS</t>
  </si>
  <si>
    <t>olga.carranza@upme.gov.co</t>
  </si>
  <si>
    <t xml:space="preserve">	ocarranzamolina@gmail.com</t>
  </si>
  <si>
    <t xml:space="preserve">https://community.secop.gov.co/Public/Tendering/ContractNoticePhases/View?PPI=CO1.PPI.37631840&amp;isFromPublicArea=True&amp;isModal=False
</t>
  </si>
  <si>
    <t>20251000011493
20251000012253</t>
  </si>
  <si>
    <t>17/02/2025
19/02/2025</t>
  </si>
  <si>
    <t>DIRECTA 229-2025-</t>
  </si>
  <si>
    <t>100-10</t>
  </si>
  <si>
    <t>PASTO-NARIÑO</t>
  </si>
  <si>
    <t>john.enriquez@upme.gov.co</t>
  </si>
  <si>
    <t>johnvitalic@gmail.com</t>
  </si>
  <si>
    <t xml:space="preserve">https://community.secop.gov.co/Public/Tendering/ContractNoticePhases/View?PPI=CO1.PPI.37633581&amp;isFromPublicArea=True&amp;isModal=False
</t>
  </si>
  <si>
    <t>DIRECTA 230-2025</t>
  </si>
  <si>
    <t>bibiana.calderon@upme.gov.co</t>
  </si>
  <si>
    <t>bibianacs@hotmail.com</t>
  </si>
  <si>
    <t>$22.692.000</t>
  </si>
  <si>
    <t xml:space="preserve">https://community.secop.gov.co/Public/Tendering/ContractNoticePhases/View?PPI=CO1.PPI.37540804&amp;isFromPublicArea=True&amp;isModal=False
</t>
  </si>
  <si>
    <t>DIRECTA 231-2025</t>
  </si>
  <si>
    <t>140-13</t>
  </si>
  <si>
    <t>luis.pena@upme.gov.co</t>
  </si>
  <si>
    <t xml:space="preserve">	lgpenas@gmail.com</t>
  </si>
  <si>
    <t xml:space="preserve">https://community.secop.gov.co/Public/Tendering/ContractNoticePhases/View?PPI=CO1.PPI.37627847&amp;isFromPublicArea=True&amp;isModal=False
</t>
  </si>
  <si>
    <t>DIRECTA 232-2025</t>
  </si>
  <si>
    <t>140-4</t>
  </si>
  <si>
    <t>harold.abella@upme.gov.co</t>
  </si>
  <si>
    <t>haac96@hotmail.com</t>
  </si>
  <si>
    <t>$13.122.900</t>
  </si>
  <si>
    <t xml:space="preserve">https://community.secop.gov.co/Public/Tendering/ContractNoticePhases/View?PPI=CO1.PPI.37719637&amp;isFromPublicArea=True&amp;isModal=False
</t>
  </si>
  <si>
    <t>DIRECTA 233-2025</t>
  </si>
  <si>
    <t>camilo.achury@upme.gov.co</t>
  </si>
  <si>
    <t>camilo.achury@outlook.com</t>
  </si>
  <si>
    <t xml:space="preserve">https://community.secop.gov.co/Public/Tendering/ContractNoticePhases/View?PPI=CO1.PPI.37633378&amp;isFromPublicArea=True&amp;isModal=False
</t>
  </si>
  <si>
    <t>DIRECTA 234-2025</t>
  </si>
  <si>
    <t>150-34</t>
  </si>
  <si>
    <t>PITALITO-HUILA</t>
  </si>
  <si>
    <t>luis.chavarro@upme.gov.co</t>
  </si>
  <si>
    <t xml:space="preserve">	luismiguelonx@gmail.com</t>
  </si>
  <si>
    <t xml:space="preserve">https://community.secop.gov.co/Public/Tendering/ContractNoticePhases/View?PPI=CO1.PPI.37662700&amp;isFromPublicArea=True&amp;isModal=False
</t>
  </si>
  <si>
    <t>juan.aponte@upme.gov.co</t>
  </si>
  <si>
    <t>DIRECTA 235-2025</t>
  </si>
  <si>
    <t>150-24</t>
  </si>
  <si>
    <t>NOBSA-BOYACA</t>
  </si>
  <si>
    <t>javier.pava@upme.gov.co</t>
  </si>
  <si>
    <t xml:space="preserve">	jhpavas@unal.edu.co</t>
  </si>
  <si>
    <t>$38.579.450</t>
  </si>
  <si>
    <t xml:space="preserve">https://community.secop.gov.co/Public/Tendering/ContractNoticePhases/View?PPI=CO1.PPI.37664330&amp;isFromPublicArea=True&amp;isModal=False
</t>
  </si>
  <si>
    <t>Angelica Aldana Urrea</t>
  </si>
  <si>
    <t>angelica.aldana@upme.gov.co</t>
  </si>
  <si>
    <t>DIRECTA 236-2025</t>
  </si>
  <si>
    <t>131-51, 140-25 y 140-24</t>
  </si>
  <si>
    <t>temp2010@msn.com</t>
  </si>
  <si>
    <t xml:space="preserve">https://community.secop.gov.co/Public/Tendering/ContractNoticePhases/View?PPI=CO1.PPI.37721560&amp;isFromPublicArea=True&amp;isModal=False
</t>
  </si>
  <si>
    <t>Jorge Fernando Forero Castañeda</t>
  </si>
  <si>
    <t>DIRECTA 237-2025</t>
  </si>
  <si>
    <t>180-22</t>
  </si>
  <si>
    <t xml:space="preserve">	juan_GTI@outlook.com</t>
  </si>
  <si>
    <t xml:space="preserve">https://community.secop.gov.co/Public/Tendering/ContractNoticePhases/View?PPI=CO1.PPI.37690963&amp;isFromPublicArea=True&amp;isModal=False
</t>
  </si>
  <si>
    <t>DIRECTA 238-2025</t>
  </si>
  <si>
    <t>170-10</t>
  </si>
  <si>
    <t>contratosmme@minenergia.gov.co</t>
  </si>
  <si>
    <t>Maximiliano Bueno López</t>
  </si>
  <si>
    <t>901.455.820-4</t>
  </si>
  <si>
    <t>SESIÓN 009 DEL 25/02/2025</t>
  </si>
  <si>
    <t>DIRECTA 239-2025</t>
  </si>
  <si>
    <t>150-25</t>
  </si>
  <si>
    <t xml:space="preserve">gerencia@gomezlee.com.co
</t>
  </si>
  <si>
    <t>administrativo@gomezlee.com.co</t>
  </si>
  <si>
    <t xml:space="preserve">https://community.secop.gov.co/Public/Tendering/ContractNoticePhases/View?PPI=CO1.PPI.37867854&amp;isFromPublicArea=True&amp;isModal=False
</t>
  </si>
  <si>
    <t>S.G</t>
  </si>
  <si>
    <t>DIRECTA 240-2025</t>
  </si>
  <si>
    <t>110-3 y 110-18</t>
  </si>
  <si>
    <t xml:space="preserve">administrativo@gomezlee.com.co
</t>
  </si>
  <si>
    <t>ANGELICADIAZ26@gmail.com</t>
  </si>
  <si>
    <t>DIRECTA 241-2025</t>
  </si>
  <si>
    <t>100-7 y 180-23</t>
  </si>
  <si>
    <t>prensaduque@gmail.com</t>
  </si>
  <si>
    <t>DIRECTA 242-2025</t>
  </si>
  <si>
    <t xml:space="preserve">https://community.secop.gov.co/Public/Tendering/ContractNoticePhases/View?PPI=CO1.PPI.37924980&amp;isFromPublicArea=True&amp;isModal=False
</t>
  </si>
  <si>
    <t>DIANA PATRICIA SERRANO SÁNCHEZ</t>
  </si>
  <si>
    <t>DIRECTA 243-2025</t>
  </si>
  <si>
    <t>110-2</t>
  </si>
  <si>
    <t xml:space="preserve">	linaadelaidajim@gmail.com</t>
  </si>
  <si>
    <t>DIRECTA 244-2025</t>
  </si>
  <si>
    <t>100-23</t>
  </si>
  <si>
    <t>manuel.montoya@upme.gov.co</t>
  </si>
  <si>
    <t>alemovar24@gmail.com</t>
  </si>
  <si>
    <t xml:space="preserve">https://community.secop.gov.co/Public/Tendering/ContractNoticePhases/View?PPI=CO1.PPI.37989823&amp;isFromPublicArea=True&amp;isModal=False
</t>
  </si>
  <si>
    <t>Ingrid Garzon Garzon</t>
  </si>
  <si>
    <t>DIRECCION GENERAL-TERRITORIAL</t>
  </si>
  <si>
    <t>900.428.186-4</t>
  </si>
  <si>
    <t>AIRCOOL INGENIERÍA 
(Aires Acondicionados)</t>
  </si>
  <si>
    <t>DIRECTA 245-2025</t>
  </si>
  <si>
    <t>FIRMADO en solicitud de pólizas</t>
  </si>
  <si>
    <t>111-3</t>
  </si>
  <si>
    <t xml:space="preserve">	servicioalcliente@aircoolingenieria.co</t>
  </si>
  <si>
    <t>JENNY  PATRICIA PEÑA</t>
  </si>
  <si>
    <t>DIRECTA 246-2025</t>
  </si>
  <si>
    <t>100-26</t>
  </si>
  <si>
    <t>erick.fernandez@upme.gov.co</t>
  </si>
  <si>
    <t>erickfernandez9804@gmail.com</t>
  </si>
  <si>
    <t xml:space="preserve">https://community.secop.gov.co/Public/Tendering/ContractNoticePhases/View?PPI=CO1.PPI.38018573&amp;isFromPublicArea=True&amp;isModal=False
</t>
  </si>
  <si>
    <t>20251000016283
20251000016743</t>
  </si>
  <si>
    <t>DIRECTA 247-2025</t>
  </si>
  <si>
    <t>100-47</t>
  </si>
  <si>
    <t>norabis.tejedor@upme.gov.co</t>
  </si>
  <si>
    <t xml:space="preserve">	noratejecasi@yahoo.es</t>
  </si>
  <si>
    <t>https://community.secop.gov.co/Public/Tendering/ContractNoticePhases/View?PPI=CO1.PPI.38024649&amp;isFromPublicArea=True&amp;isModal=False</t>
  </si>
  <si>
    <t>DIRECTA 248-2025</t>
  </si>
  <si>
    <t>stephanie.guzman@upme.gov.co</t>
  </si>
  <si>
    <t xml:space="preserve">	sgzg95@gmail.com</t>
  </si>
  <si>
    <t xml:space="preserve">https://community.secop.gov.co/Public/Tendering/ContractNoticePhases/View?PPI=CO1.PPI.38023115&amp;isFromPublicArea=True&amp;isModal=False
</t>
  </si>
  <si>
    <t>juliana.camacho@upme.gov.co</t>
  </si>
  <si>
    <t>DIRECTA 249-2025</t>
  </si>
  <si>
    <t>100-57</t>
  </si>
  <si>
    <t xml:space="preserve">mir.cass@hotmail.com
</t>
  </si>
  <si>
    <t xml:space="preserve">	mir.cass@hotmail.com</t>
  </si>
  <si>
    <t xml:space="preserve">https://community.secop.gov.co/Public/Tendering/ContractNoticePhases/View?PPI=CO1.PPI.38135942&amp;isFromPublicArea=True&amp;isModal=False
</t>
  </si>
  <si>
    <t>SESIÓN 012 DEL 11/03/2025</t>
  </si>
  <si>
    <t>UNIVERSIDAD NACIONAL 
(PIC)</t>
  </si>
  <si>
    <t>DIRECTA 250-2025</t>
  </si>
  <si>
    <t>110-15 / 111-39</t>
  </si>
  <si>
    <t xml:space="preserve">juridiuecfi_bog@unal.edu.co
</t>
  </si>
  <si>
    <t>contratacion@unal.edu.co</t>
  </si>
  <si>
    <t>DIRECTOR GENERAL CARLOS ADRIAN CORREA CC 18520058</t>
  </si>
  <si>
    <t xml:space="preserve">https://community.secop.gov.co/Public/Tendering/ContractNoticePhases/View?PPI=CO1.PPI.38356348&amp;isFromPublicArea=True&amp;isModal=False
</t>
  </si>
  <si>
    <t>JOSE ALFREDO MORALES DIAZ</t>
  </si>
  <si>
    <t>jose.morales@upme.gov.co</t>
  </si>
  <si>
    <t>AO-2025-01
(Rad. ARGO 20251140019243)
(ID SECOP PENDIENTE)</t>
  </si>
  <si>
    <t>DIRECTA 251-2025</t>
  </si>
  <si>
    <t>140-14</t>
  </si>
  <si>
    <t xml:space="preserve">nicole.franco@fastmarkets.com
</t>
  </si>
  <si>
    <t xml:space="preserve">	nicole.franco@fastmarkets.com</t>
  </si>
  <si>
    <t xml:space="preserve">https://community.secop.gov.co/Public/Tendering/ContractNoticePhases/View?PPI=CO1.PPI.38413508&amp;isFromPublicArea=True&amp;isModal=False
</t>
  </si>
  <si>
    <t>luz.gomez@upme.gov.co</t>
  </si>
  <si>
    <t>DIRECTA 252-2025</t>
  </si>
  <si>
    <t>100-42</t>
  </si>
  <si>
    <t>SAN GIL-SANTANDER</t>
  </si>
  <si>
    <t>mayra.allado@upme.gov.co</t>
  </si>
  <si>
    <t>alejallado@gmail.com</t>
  </si>
  <si>
    <t xml:space="preserve">https://community.secop.gov.co/Public/Tendering/ContractNoticePhases/View?PPI=CO1.PPI.38193293&amp;isFromPublicArea=True&amp;isModal=False
</t>
  </si>
  <si>
    <t>COMPENSAR
(Plan de Bienestar)</t>
  </si>
  <si>
    <t>DIRECTA 253-2025</t>
  </si>
  <si>
    <t>111-26</t>
  </si>
  <si>
    <t xml:space="preserve">operacionesycontratos@compensar.com
</t>
  </si>
  <si>
    <t>Dmcastillob@compensar.com</t>
  </si>
  <si>
    <t xml:space="preserve">https://community.secop.gov.co/Public/Tendering/ContractNoticePhases/View?PPI=CO1.PPI.38228222&amp;isFromPublicArea=True&amp;isModal=False
</t>
  </si>
  <si>
    <t>900.590.424-4</t>
  </si>
  <si>
    <t>DIRECTA 254-2025</t>
  </si>
  <si>
    <t>130-43, 130-44</t>
  </si>
  <si>
    <t xml:space="preserve">info@netdatanetworks.com,
</t>
  </si>
  <si>
    <t>liliana.florez@netdatanetworks.com</t>
  </si>
  <si>
    <t>DIRECTA 255-2025</t>
  </si>
  <si>
    <t>100-51</t>
  </si>
  <si>
    <t>CALI-VALE</t>
  </si>
  <si>
    <t xml:space="preserve">	juanortega_1990@gmail.com</t>
  </si>
  <si>
    <t>Daniela Pachón Camargo</t>
  </si>
  <si>
    <t>daniela.pachon@upme.gov.co</t>
  </si>
  <si>
    <t>DIRECTA 256-2025</t>
  </si>
  <si>
    <t>100-24</t>
  </si>
  <si>
    <t xml:space="preserve">estebantorrijos@hotmail.com
</t>
  </si>
  <si>
    <t>estebantorrijos@hotmail.com</t>
  </si>
  <si>
    <t xml:space="preserve">https://community.secop.gov.co/Public/Tendering/ContractNoticePhases/View?PPI=CO1.PPI.38456267&amp;isFromPublicArea=True&amp;isModal=False
</t>
  </si>
  <si>
    <t>ANGELICA MUÑOZ MARTINEZ</t>
  </si>
  <si>
    <t>angelica.munoz@upme.gov.co</t>
  </si>
  <si>
    <t>DIRECTA 257-2025</t>
  </si>
  <si>
    <t>130-33 / 130-34</t>
  </si>
  <si>
    <t xml:space="preserve">commerciallatam@bizagi.com
</t>
  </si>
  <si>
    <t>commerciallatam@bizagi.com</t>
  </si>
  <si>
    <t xml:space="preserve">https://community.secop.gov.co/Public/Tendering/ContractNoticePhases/View?PPI=CO1.PPI.38368724&amp;isFromPublicArea=True&amp;isModal=False
</t>
  </si>
  <si>
    <t>DIRECTA 258-2025</t>
  </si>
  <si>
    <t>111-14</t>
  </si>
  <si>
    <t xml:space="preserve">gerencia@imprenta.gov.co
</t>
  </si>
  <si>
    <t>raul.vargas@imprenta.gov.co</t>
  </si>
  <si>
    <t xml:space="preserve">https://community.secop.gov.co/Public/Tendering/ContractNoticePhases/View?PPI=CO1.PPI.38425876&amp;isFromPublicArea=True&amp;isModal=False
</t>
  </si>
  <si>
    <t>CD-0597-2025</t>
  </si>
  <si>
    <t>https://www.secop.gov.co/CO1ContractsManagement/Tendering/SalesContractEdit/View?docUniqueIdentifier=CO1.SLCNTR.14564173</t>
  </si>
  <si>
    <t>860.007.386-1</t>
  </si>
  <si>
    <t>SESIÓN 015 DEL 25/03/2025</t>
  </si>
  <si>
    <t>DEMANDA</t>
  </si>
  <si>
    <t>20251610020053 - 20251610026103</t>
  </si>
  <si>
    <t>DIRECTA 259-2025</t>
  </si>
  <si>
    <t>CONTRACTUAL</t>
  </si>
  <si>
    <t>160-10</t>
  </si>
  <si>
    <t xml:space="preserve">juridica@uniandes.edu.co
</t>
  </si>
  <si>
    <t>juridica@uniandes.edu.co,</t>
  </si>
  <si>
    <t>https://community.secop.gov.co/Public/Tendering/ContractNoticePhases/View?PPI=CO1.PPI.38918719&amp;isFromPublicArea=True&amp;isModal=False</t>
  </si>
  <si>
    <t>PAOLA ZAMBRANO GARCÍA</t>
  </si>
  <si>
    <t>paola.zambrano@upme.gov.co</t>
  </si>
  <si>
    <t>900.697.738-2</t>
  </si>
  <si>
    <t>NGEEK S.A.S.
(Security Gateway Edge)</t>
  </si>
  <si>
    <t>DIRECTA 260-2025</t>
  </si>
  <si>
    <t>130-40</t>
  </si>
  <si>
    <t>administrativa@ngeek.co</t>
  </si>
  <si>
    <t>DIRECTA 261-2025</t>
  </si>
  <si>
    <t>100-14</t>
  </si>
  <si>
    <t xml:space="preserve">	josorio@omlegal.com</t>
  </si>
  <si>
    <t xml:space="preserve">https://community.secop.gov.co/Public/Tendering/ContractNoticePhases/View?PPI=CO1.PPI.38548533&amp;isFromPublicArea=True&amp;isModal=False
</t>
  </si>
  <si>
    <t>DIRECTA 262-2025</t>
  </si>
  <si>
    <t>100-56</t>
  </si>
  <si>
    <t xml:space="preserve">	velandia.mariaf@gmail.com</t>
  </si>
  <si>
    <t>https://community.secop.gov.co/Public/Tendering/ContractNoticePhases/View?PPI=CO1.PPI.38548356&amp;isFromPublicArea=True&amp;isModal=False</t>
  </si>
  <si>
    <t>DIRECTA 263-2025</t>
  </si>
  <si>
    <t>100-12</t>
  </si>
  <si>
    <t>LA CEJA-ANTIOQUIA</t>
  </si>
  <si>
    <t>natalicarmonagiraldo@gmail.com</t>
  </si>
  <si>
    <t xml:space="preserve">https://community.secop.gov.co/Public/Tendering/ContractNoticePhases/View?PPI=CO1.PPI.38709901&amp;isFromPublicArea=True&amp;isModal=False
</t>
  </si>
  <si>
    <t>900.850.098-2</t>
  </si>
  <si>
    <t>DIRECTA 264-2025</t>
  </si>
  <si>
    <t>111-4</t>
  </si>
  <si>
    <t xml:space="preserve">direcciontecnica@ashesfire.co
</t>
  </si>
  <si>
    <t xml:space="preserve">proyectos@ashesfire.co
</t>
  </si>
  <si>
    <t xml:space="preserve">https://community.secop.gov.co/Public/Tendering/ContractNoticePhases/View?PPI=CO1.PPI.38644041&amp;isFromPublicArea=True&amp;isModal=False
</t>
  </si>
  <si>
    <t>RAFAEL ANTONIO GARCIA OBANDO</t>
  </si>
  <si>
    <t>rafael.garcia@upme.gov.co</t>
  </si>
  <si>
    <t>MAYO</t>
  </si>
  <si>
    <t>DIRECTA 265-2025</t>
  </si>
  <si>
    <t>carlos.gomez@upme.gov.co</t>
  </si>
  <si>
    <t>andres25@utp.edu.co</t>
  </si>
  <si>
    <t xml:space="preserve">https://community.secop.gov.co/Public/Tendering/ContractNoticePhases/View?PPI=CO1.PPI.38706989&amp;isFromPublicArea=True&amp;isModal=False
</t>
  </si>
  <si>
    <t>860.007.759-3</t>
  </si>
  <si>
    <t>SESIÓN 013 DEL 19/03/2025</t>
  </si>
  <si>
    <t>Consultoría Gestión del Conocimiento e Innovación - UNIVERSIDAD DEL ROSARIO</t>
  </si>
  <si>
    <t>20251010022293 - 20251010024313</t>
  </si>
  <si>
    <t>DIRECTA 266-2025</t>
  </si>
  <si>
    <t>101-19</t>
  </si>
  <si>
    <t xml:space="preserve">juridica@urosario.edu.co
</t>
  </si>
  <si>
    <t>juridica@urosario.edu.co</t>
  </si>
  <si>
    <t xml:space="preserve">https://community.secop.gov.co/Public/Tendering/ContractNoticePhases/View?PPI=CO1.PPI.38772002&amp;isFromPublicArea=True&amp;isModal=False
</t>
  </si>
  <si>
    <t>diego.vanegas@upme.gov.co</t>
  </si>
  <si>
    <t>DIRECTA 267-2025</t>
  </si>
  <si>
    <t>100-49</t>
  </si>
  <si>
    <t>MAHATES-BOLIVAR</t>
  </si>
  <si>
    <t>aiden.salgado@upme.gov.co</t>
  </si>
  <si>
    <t>salgadocaiden@gmail.com</t>
  </si>
  <si>
    <t xml:space="preserve">https://community.secop.gov.co/Public/Tendering/ContractNoticePhases/View?PPI=CO1.PPI.38682775&amp;isFromPublicArea=True&amp;isModal=False
</t>
  </si>
  <si>
    <t>DIRECTA 268-2025</t>
  </si>
  <si>
    <t>100-18</t>
  </si>
  <si>
    <t>PUERTO TRIUNFO-ANTIOQUIA</t>
  </si>
  <si>
    <t>maria.lopez@upme.gov.co</t>
  </si>
  <si>
    <t>validono@gmail.com</t>
  </si>
  <si>
    <t xml:space="preserve">https://community.secop.gov.co/Public/Tendering/ContractNoticePhases/View?PPI=CO1.PPI.38675548&amp;isFromPublicArea=True&amp;isModal=False
</t>
  </si>
  <si>
    <t>MINERÍA</t>
  </si>
  <si>
    <t>LAURA S</t>
  </si>
  <si>
    <t>DIRECTA 269-2025</t>
  </si>
  <si>
    <t>140-15</t>
  </si>
  <si>
    <t xml:space="preserve">sergio.wakim@argusmedia.com
</t>
  </si>
  <si>
    <t>sergio.wakim@argusmedia.com</t>
  </si>
  <si>
    <t xml:space="preserve">https://community.secop.gov.co/Public/Tendering/ContractNoticePhases/View?PPI=CO1.PPI.38686264&amp;isFromPublicArea=True&amp;isModal=False
</t>
  </si>
  <si>
    <t>800.219.876-9</t>
  </si>
  <si>
    <t>PLUXEE COLOMBIA S.A.S. - DOTACIÓN</t>
  </si>
  <si>
    <t>DIRECTA 270-2025</t>
  </si>
  <si>
    <t>111-20</t>
  </si>
  <si>
    <t xml:space="preserve">anamaria.lopez@pluxeegroup.com
</t>
  </si>
  <si>
    <t>angelica.botia@pluxeegroup.com</t>
  </si>
  <si>
    <t xml:space="preserve">https://community.secop.gov.co/Public/Tendering/ContractNoticePhases/View?PPI=CO1.PPI.38741665&amp;isFromPublicArea=True&amp;isModal=False
</t>
  </si>
  <si>
    <t>JENNY PEÑA</t>
  </si>
  <si>
    <t>S.E.</t>
  </si>
  <si>
    <t>DIRECTA 271-2025</t>
  </si>
  <si>
    <t>150-5</t>
  </si>
  <si>
    <t>jovita.sanabria@upme.gov.co</t>
  </si>
  <si>
    <t>majodas23@gmail.com</t>
  </si>
  <si>
    <t xml:space="preserve">https://community.secop.gov.co/Public/Tendering/ContractNoticePhases/View?PPI=CO1.PPI.38773084&amp;isFromPublicArea=True&amp;isModal=False
</t>
  </si>
  <si>
    <t>DIRECTA 272-2025</t>
  </si>
  <si>
    <t>150-66</t>
  </si>
  <si>
    <t>diana.diaz@upme.gov.co</t>
  </si>
  <si>
    <t>dianasofia.diazcastro@gmail.com</t>
  </si>
  <si>
    <t xml:space="preserve">https://community.secop.gov.co/Public/Tendering/ContractNoticePhases/View?PPI=CO1.PPI.38781706&amp;isFromPublicArea=True&amp;isModal=False
</t>
  </si>
  <si>
    <t>20251000024673 - 20251000024883 - 20251140024933 - 20251000025833</t>
  </si>
  <si>
    <t>DIRECTA 273-2025</t>
  </si>
  <si>
    <t>100-17</t>
  </si>
  <si>
    <t xml:space="preserve">info.ajuap@gmail.com
</t>
  </si>
  <si>
    <t xml:space="preserve">https://community.secop.gov.co/Public/Tendering/ContractNoticePhases/View?PPI=CO1.PPI.38899987&amp;isFromPublicArea=True&amp;isModal=False
</t>
  </si>
  <si>
    <t>900.182.448-0</t>
  </si>
  <si>
    <t>SESIÓN 16 01/04/2025</t>
  </si>
  <si>
    <t>DIRECTA 274-2025</t>
  </si>
  <si>
    <t>111-34</t>
  </si>
  <si>
    <t xml:space="preserve">construccionesretoltda@hotmail.com
</t>
  </si>
  <si>
    <t xml:space="preserve">https://community.secop.gov.co/Public/Tendering/ContractNoticePhases/View?PPI=CO1.PPI.38817509&amp;isFromPublicArea=True&amp;isModal=False
</t>
  </si>
  <si>
    <t>EDILBERTO PEÑA ROMERO</t>
  </si>
  <si>
    <t xml:space="preserve">arqbetopr@gmail.com
</t>
  </si>
  <si>
    <t>GRUPO DE GESTION ADMINISTRATICA</t>
  </si>
  <si>
    <t>S.G.I</t>
  </si>
  <si>
    <t>DIRECTA 275-2025</t>
  </si>
  <si>
    <t>AURORA</t>
  </si>
  <si>
    <t xml:space="preserve">e.andrestoledo@gmail.com
</t>
  </si>
  <si>
    <t xml:space="preserve">https://community.secop.gov.co/Public/Tendering/ContractNoticePhases/View?PPI=CO1.PPI.38868970&amp;isFromPublicArea=True&amp;isModal=False
</t>
  </si>
  <si>
    <t>DIRECTA 276-2025</t>
  </si>
  <si>
    <t>161-61</t>
  </si>
  <si>
    <t xml:space="preserve">camilincortes@hotmail.com
</t>
  </si>
  <si>
    <t xml:space="preserve">https://community.secop.gov.co/Public/Tendering/ContractNoticePhases/View?PPI=CO1.PPI.38876919&amp;isFromPublicArea=True&amp;isModal=False
</t>
  </si>
  <si>
    <t>900.042.857-1</t>
  </si>
  <si>
    <t>DIRECTA 277-2025</t>
  </si>
  <si>
    <t>secretariageneral@xm.com.co</t>
  </si>
  <si>
    <t xml:space="preserve">	secretariageneral@xm.com.co</t>
  </si>
  <si>
    <t xml:space="preserve">https://community.secop.gov.co/Public/Tendering/ContractNoticePhases/View?PPI=CO1.PPI.38849746&amp;isFromPublicArea=True&amp;isModal=False
</t>
  </si>
  <si>
    <t>2025114140100291E</t>
  </si>
  <si>
    <t>DIRECTA 278-2025</t>
  </si>
  <si>
    <t>100-21</t>
  </si>
  <si>
    <t>karen.rosada@upme.gov.co</t>
  </si>
  <si>
    <t xml:space="preserve">	karenrosada@gmail.com</t>
  </si>
  <si>
    <t xml:space="preserve">https://community.secop.gov.co/Public/Tendering/ContractNoticePhases/View?PPI=CO1.PPI.38900103&amp;isFromPublicArea=True&amp;isModal=False
</t>
  </si>
  <si>
    <t>2025114140100289E</t>
  </si>
  <si>
    <t>Proceso de Interventoría - FASE II - EDILBERTO
PEÑA ROMERO</t>
  </si>
  <si>
    <t>DIRECTA 279-2025</t>
  </si>
  <si>
    <t>111-28</t>
  </si>
  <si>
    <t>arqbetopr@gmail.com</t>
  </si>
  <si>
    <t xml:space="preserve">https://community.secop.gov.co/Public/Tendering/ContractNoticePhases/View?PPI=CO1.PPI.38874793&amp;isFromPublicArea=True&amp;isModal=False
</t>
  </si>
  <si>
    <t>2025114140000298E</t>
  </si>
  <si>
    <t>Sesión 018 - 08/04/2025</t>
  </si>
  <si>
    <t>ENERGÍA</t>
  </si>
  <si>
    <t>20251500025793 - 20251500025923</t>
  </si>
  <si>
    <t>DIRECTA 280-2025</t>
  </si>
  <si>
    <t>150-37</t>
  </si>
  <si>
    <t xml:space="preserve">info@energyexemplar.com
</t>
  </si>
  <si>
    <t xml:space="preserve">https://community.secop.gov.co/Public/Tendering/ContractNoticePhases/View?PPI=CO1.PPI.38904675&amp;isFromPublicArea=True&amp;isModal=False
</t>
  </si>
  <si>
    <t>HENRY JOSUE ZAPATA LESMES</t>
  </si>
  <si>
    <t>henry.zapata@upme.gov.co</t>
  </si>
  <si>
    <t>Coworking 2025 alquiler de oficina -WORKMATES MASTERLINE S.A.S</t>
  </si>
  <si>
    <t>DIRECTA 281-2025</t>
  </si>
  <si>
    <t>111-35</t>
  </si>
  <si>
    <t>s.cliente@alasdecolombia.net</t>
  </si>
  <si>
    <t xml:space="preserve">agonzalez@masterline-logistics.com.co
</t>
  </si>
  <si>
    <t xml:space="preserve">https://community.secop.gov.co/Public/Tendering/ContractNoticePhases/View?PPI=CO1.PPI.39108851&amp;isFromPublicArea=True&amp;isModal=False
</t>
  </si>
  <si>
    <t>2025114140000299E</t>
  </si>
  <si>
    <t>CO1.PCCNTR.7801463</t>
  </si>
  <si>
    <t>Andrés David Álvarez Ruiz</t>
  </si>
  <si>
    <t>DIRECTA 282-2025</t>
  </si>
  <si>
    <t>No fue aprobado. No se continua trámite.</t>
  </si>
  <si>
    <t>160-15</t>
  </si>
  <si>
    <t>CO1.PCCNTR.7801281</t>
  </si>
  <si>
    <t>JORGE ARTURO PULIDO</t>
  </si>
  <si>
    <t>DIRECTA 283-2025</t>
  </si>
  <si>
    <t>100-59</t>
  </si>
  <si>
    <t>CO1.PCCNTR.7811579</t>
  </si>
  <si>
    <t>CAMILA ANDREA PUENTES GARCÍA</t>
  </si>
  <si>
    <t>DIRECTA 284-2025</t>
  </si>
  <si>
    <t>100-4 100-6 100-11</t>
  </si>
  <si>
    <t>900.119.390-5</t>
  </si>
  <si>
    <t>DIRECTA 285-2025</t>
  </si>
  <si>
    <t>111-13 150-71 150-72</t>
  </si>
  <si>
    <t xml:space="preserve">s.cliente@alasdecolombia.net
</t>
  </si>
  <si>
    <t>CO1.PCCNTR.7831019</t>
  </si>
  <si>
    <t>ESAP - PIC</t>
  </si>
  <si>
    <t>DIRECTA 286-2025</t>
  </si>
  <si>
    <t>EN REV DEL PROVEEDOR</t>
  </si>
  <si>
    <t>111-37</t>
  </si>
  <si>
    <t>DIRECTA 287-2025</t>
  </si>
  <si>
    <t>130-42 130-50</t>
  </si>
  <si>
    <t>sebastian.bautista@upme.gov.co</t>
  </si>
  <si>
    <t xml:space="preserve">Sebastian.bautista.velasquez@gmail.com
</t>
  </si>
  <si>
    <t xml:space="preserve">https://community.secop.gov.co/Public/Tendering/ContractNoticePhases/View?PPI=CO1.PPI.39335310&amp;isFromPublicArea=True&amp;isModal=False
</t>
  </si>
  <si>
    <t>900349363-2</t>
  </si>
  <si>
    <t>DIRECTA 288 -2025</t>
  </si>
  <si>
    <t>111-27</t>
  </si>
  <si>
    <t xml:space="preserve">ventas@proteccionx.com
</t>
  </si>
  <si>
    <t>EDITH CAROLINA CHAVEZ BRICEÑO CC 52270362</t>
  </si>
  <si>
    <t>https://community.secop.gov.co/Public/Tendering/ContractNoticePhases/View?PPI=CO1.PPI.39475565&amp;isFromPublicArea=True&amp;isModal=False</t>
  </si>
  <si>
    <t>CO1.PCCNTR.7903548</t>
  </si>
  <si>
    <t>BEENEX</t>
  </si>
  <si>
    <t>OBSERVACIONES
16-abr-2025 Observaciones en EP ES y documentos 
02-may-2025 OK</t>
  </si>
  <si>
    <t>DIRECTA 289 -2025</t>
  </si>
  <si>
    <t>140-21</t>
  </si>
  <si>
    <t>DIRECTA 290-2025</t>
  </si>
  <si>
    <t>111-40</t>
  </si>
  <si>
    <t xml:space="preserve">magneryvargasm@hotmail.com
</t>
  </si>
  <si>
    <t xml:space="preserve">https://community.secop.gov.co/Public/Tendering/ContractNoticePhases/View?PPI=CO1.PPI.39520035&amp;isFromPublicArea=True&amp;isModal=False
</t>
  </si>
  <si>
    <t>GENY PALACIOS PENAGOS</t>
  </si>
  <si>
    <t>geny.palacios@upme.gov.co</t>
  </si>
  <si>
    <t>S.M</t>
  </si>
  <si>
    <t>OBSERVACIONES</t>
  </si>
  <si>
    <t>DIRECTA 291-2025</t>
  </si>
  <si>
    <t>140-26</t>
  </si>
  <si>
    <t>harol.avila@upme.gov.co</t>
  </si>
  <si>
    <t xml:space="preserve">haac96@hotmail.com
</t>
  </si>
  <si>
    <t xml:space="preserve">https://community.secop.gov.co/Public/Tendering/ContractNoticePhases/View?PPI=CO1.PPI.39617604&amp;isFromPublicArea=True&amp;isModal=False
</t>
  </si>
  <si>
    <t>DIRECTA 292-2025</t>
  </si>
  <si>
    <t>160-21  161-62</t>
  </si>
  <si>
    <t xml:space="preserve">juan3aad@gmail.com
</t>
  </si>
  <si>
    <t>https://community.secop.gov.co/Public/Tendering/ContractNoticePhases/View?PPI=CO1.PPI.39634933&amp;isFromPublicArea=True&amp;isModal=False</t>
  </si>
  <si>
    <t>O.G.P.F</t>
  </si>
  <si>
    <t>DIRECTA 293-2025</t>
  </si>
  <si>
    <t>180-19 100-6</t>
  </si>
  <si>
    <t>ing.estrategica@yahoo.com</t>
  </si>
  <si>
    <t>luis.arevalo@upme.gov.co</t>
  </si>
  <si>
    <t>https://community.secop.gov.co/Public/Tendering/ContractNoticePhases/View?PPI=CO1.PPI.39685258&amp;isFromPublicArea=True&amp;isModal=False</t>
  </si>
  <si>
    <t>manuel.pena@upme.gov.co</t>
  </si>
  <si>
    <t>Universidad Nacional - PIC</t>
  </si>
  <si>
    <t>DIRECTA 294-2025</t>
  </si>
  <si>
    <t>FIR ADO</t>
  </si>
  <si>
    <t xml:space="preserve">juridiuecfi_bog@unal.edu.co,
</t>
  </si>
  <si>
    <t>juridiuecfi_bog@unal.edu.co,</t>
  </si>
  <si>
    <t>$82.742.000</t>
  </si>
  <si>
    <t xml:space="preserve">https://community.secop.gov.co/Public/Tendering/ContractNoticePhases/View?PPI=CO1.PPI.39750149&amp;isFromPublicArea=True&amp;isModal=False
</t>
  </si>
  <si>
    <t>JUNIO</t>
  </si>
  <si>
    <t>DIRECTA 295-2025</t>
  </si>
  <si>
    <t>161-14</t>
  </si>
  <si>
    <t>dannsa96@gmail.com</t>
  </si>
  <si>
    <t>$23.326.695</t>
  </si>
  <si>
    <t>https://community.secop.gov.co/Public/Tendering/ContractNoticePhases/View?PPI=CO1.PPI.39827259&amp;isFromPublicArea=True&amp;isModal=False</t>
  </si>
  <si>
    <t>2025114140000316E</t>
  </si>
  <si>
    <t>DIRECTA 296-2025</t>
  </si>
  <si>
    <t>161-15</t>
  </si>
  <si>
    <t>POLITOLOGA</t>
  </si>
  <si>
    <t>htarazona07@hotmail.com</t>
  </si>
  <si>
    <t>$23.326.696</t>
  </si>
  <si>
    <t>https://community.secop.gov.co/Public/Tendering/ContractNoticePhases/View?PPI=CO1.PPI.39829109&amp;isFromPublicArea=True&amp;isModal=False</t>
  </si>
  <si>
    <t>2025114140100315E</t>
  </si>
  <si>
    <t>DIRECTA 297-2025.</t>
  </si>
  <si>
    <t>161-63</t>
  </si>
  <si>
    <t xml:space="preserve">ingjorgeapinzon@gmail.com
</t>
  </si>
  <si>
    <t>SECRETARIA GENERAL DIANA MARIA JACOME CARREÑO CC 63533986</t>
  </si>
  <si>
    <t>https://community.secop.gov.co/Public/Tendering/ContractNoticePhases/View?PPI=CO1.PPI.39837363&amp;isFromPublicArea=True&amp;isModal=False</t>
  </si>
  <si>
    <t>2025114140000317E</t>
  </si>
  <si>
    <t>DIRECTA 298-2025</t>
  </si>
  <si>
    <t>En flujo 1
05/06/2025</t>
  </si>
  <si>
    <t>161-16</t>
  </si>
  <si>
    <t>2025114140000318E</t>
  </si>
  <si>
    <t>Mes</t>
  </si>
  <si>
    <t>Radicado</t>
  </si>
  <si>
    <t>Asunto Radicado Argo</t>
  </si>
  <si>
    <t>Expediente</t>
  </si>
  <si>
    <t>Fecha de llegada a financiera</t>
  </si>
  <si>
    <t>Tipo de documento</t>
  </si>
  <si>
    <t>Número</t>
  </si>
  <si>
    <t>Nombres o razon social</t>
  </si>
  <si>
    <t>No.Orden de Pago</t>
  </si>
  <si>
    <t>Fecha Orden de Pago</t>
  </si>
  <si>
    <t>Valor Pagado</t>
  </si>
  <si>
    <t>febrero</t>
  </si>
  <si>
    <t>Solicitud trámite de pago certificado de cumplimiento Pago No. 01 contrato CO1.PCCNTR.7245575</t>
  </si>
  <si>
    <t>Cédula de Ciudadanía</t>
  </si>
  <si>
    <t>MYERSTON VEGA LISETH CAROLINA</t>
  </si>
  <si>
    <t>Solicitud trámite de pago certificado de cumplimiento Pago No. 01 contrato CO1.PCCNTR.7217580</t>
  </si>
  <si>
    <t>ZUÑIGA BOLAÑOS JUAN MANUEL</t>
  </si>
  <si>
    <t>Solicitud trámite de pago certificado de cumplimiento Pago No. 01 contrato CO1.PCCNTR.7238896</t>
  </si>
  <si>
    <t>LEON SOLER AURA MARIA</t>
  </si>
  <si>
    <t>SOLICITUD DE PAGO 001 - ARUCI KUARÁN - CO1.PCCNTR.7253311</t>
  </si>
  <si>
    <t>KUARAN LUQUEZ ARUCI MAURICIO</t>
  </si>
  <si>
    <t>Solicitud trámite de pago certificado de cumplimiento Pago No. 1 Contrato CO1.PCCNTR.7215006 JENNYFER FERNANDEZ</t>
  </si>
  <si>
    <t>FERNANDEZ GALVIS JENNYFER ROCIO</t>
  </si>
  <si>
    <t>Solicitud trámite de pago certificado de cumplimiento Pago No.1 contrato CO1.PCCNTR.7254981 Karen Tatiana Girón</t>
  </si>
  <si>
    <t>GIRON USECHE KAREN TATIANA</t>
  </si>
  <si>
    <t>Solicitud trámite de pago certificado de cumplimiento Pago No. 01 contrato CO1.PCCNTR.7215046 de 2025. David Leonardo Peña González.</t>
  </si>
  <si>
    <t>PEÑA GONZALEZ DAVID LEONARDO</t>
  </si>
  <si>
    <t>Solicitud trámite de pago certificado de cumplimiento. Pago No. 001 contrato CO1.PCCNT.7208702- MARÍA CAMILA HERRERA CHARRY.</t>
  </si>
  <si>
    <t>HERRERA CHARRY MARIA CAMILA</t>
  </si>
  <si>
    <t>Solicitud trámite de pago certificado de cumplimiento Pago No. 01 contrato CO1.PCCNTR.7211854 de la profesional Angie Carolina Piñeros Guzmán</t>
  </si>
  <si>
    <t>PIÑEROS GUZMAN ANGIE CAROLINA</t>
  </si>
  <si>
    <t>Solicitud trámite de pago - Certificado de cumplimiento Pago No. 1 - Contrato CO1.PCCNTR.7238976 - JORGE MARIO GUEVARA GONZÁLEZ</t>
  </si>
  <si>
    <t>GUEVARA GONZALEZ JORGE MARIO</t>
  </si>
  <si>
    <t>Solicitud trámite de pago - Certificado de cumplimiento Pago No. 1 - Contrato CO1.PCCNTR.7218727 - PAOLA ANDREA TORRES CHACON</t>
  </si>
  <si>
    <t>TORRES CHACON PAOLA ANDREA</t>
  </si>
  <si>
    <t>Certificado de cumplimiento Pago No.1 contrato CO1.PCCNTR. 7213573 ANDREA YANIRA GUTIERREZ CAMELO</t>
  </si>
  <si>
    <t>GUTIERREZ CAMELO ANDREA YANIRA</t>
  </si>
  <si>
    <t>Solicitud trámite de pago certificado de cumplimiento Pago No. 01 contrato CO1.PCCNTR.7238540 del profesional Carlos Darío Cristiano Botia</t>
  </si>
  <si>
    <t>CRISTIANO BOTIA CARLOS DARIO</t>
  </si>
  <si>
    <t>Solicitud trámite de pago certificado de cumplimiento Pago No.1 contrato CO1.PCCNTR.7231698 del profesional Jovana Negrete Flores</t>
  </si>
  <si>
    <t>Cédula de Extranjería</t>
  </si>
  <si>
    <t>NEGRETE FLORES JOVANA</t>
  </si>
  <si>
    <t>Solicitud trámite de pago certificado de cumplimiento Pago No. 001 contrato CO1.PCCNTR.7256686</t>
  </si>
  <si>
    <t>TORO TORO KELLY ANDREA</t>
  </si>
  <si>
    <t>Solicitud trámite de pago - Certificado de cumplimiento Pago No. 1 - Contrato CO1.PCCNTR.7250418 ADRIANA CRISTINA BARRERA CASTRO</t>
  </si>
  <si>
    <t>BARRERA CASTRO ADRIANA CRISTINA</t>
  </si>
  <si>
    <t>Solicitud trámite de pago certificado de cumplimiento Pago No. 01 contrato CO1.PCCNTR.7262212 Gerardo Tejedor Pérez</t>
  </si>
  <si>
    <t>TEJEDOR PEREZ GERARDO</t>
  </si>
  <si>
    <t>Solicitud trámite de pago certificado de cumplimiento Pago No. 1 contrato CO1.PCCNTR. 7328226</t>
  </si>
  <si>
    <t>FERNANDEZ CUBIDES CLAUDIA</t>
  </si>
  <si>
    <t>Solicitud trámite de pago certificado de cumplimiento Pago No. 1 contrato CO1.PCCNTR.7328240</t>
  </si>
  <si>
    <t>ALZATE SAENZ NELSY ANDREA</t>
  </si>
  <si>
    <t>Solicitud trámite de pago certificado de cumplimiento Pago No. 1 contrato CO1.PCCNTR.7208871</t>
  </si>
  <si>
    <t>MUNAR APONTE ADRIANA KATHERINE</t>
  </si>
  <si>
    <t>Solicitud trámite de pago certificado de cumplimiento Pago No. 1 contrato CO1.PCCNTR. 7260913</t>
  </si>
  <si>
    <t>AYA NAVARRO ESTEFANIA</t>
  </si>
  <si>
    <t>Certificado de cumplimiento del Pago No. 01 del contrato CO1.PCCNTR.7259306 a nombre de OLGA ESTELLA RAMÍREZ YAIMA.</t>
  </si>
  <si>
    <t>RAMIREZ YAIMA OLGA ESTELLA</t>
  </si>
  <si>
    <t>Solicitud trámite de pago certificado de cumplimiento Pago No. 1 contrato CO1.PCCNTR. CO1.PCCNTR.7216895</t>
  </si>
  <si>
    <t>VARGAS MORALES MAGNERY EDITH</t>
  </si>
  <si>
    <t>CUENTA 1_ASDRUBAL GONZALEZ PUENTES</t>
  </si>
  <si>
    <t>GONZALEZ PUENTES ASDRUBAL</t>
  </si>
  <si>
    <t>CUENTA 1_YEIMY PAOLA BUITRAGO VARGAS</t>
  </si>
  <si>
    <t>BUITRAGO VARGAS YEIMY PAOLA</t>
  </si>
  <si>
    <t>Solicitud trámite de pago certificado de cumplimiento Pago No. 1 contrato CO1.PCCNTR. CO1.PCCNTR7292416</t>
  </si>
  <si>
    <t>REAL SALINAS EDMA MARITZA</t>
  </si>
  <si>
    <t>Solicitud trámite de pago certificado de cumplimiento Pago No. 01 contrato CO1.PCCNTR.7263732 Kevin Enrique Ramos Hernández</t>
  </si>
  <si>
    <t>RAMOS HERNANDEZ KEVIN ENRIQUE</t>
  </si>
  <si>
    <t>Certificado de Cumplimiento Pago 1 - Diana CArolina Bohórquez Gil</t>
  </si>
  <si>
    <t>BOHORQUEZ GIL DIANA CAROLINA</t>
  </si>
  <si>
    <t>Solicitud trámite de pago certificado de cumplimiento Pago No. 01 contrato CO1.PCCNTR.7324781 Julián Esteban Santamaria Aragón</t>
  </si>
  <si>
    <t>SANTAMARIA ARAGON JULIAN ESTEBAN</t>
  </si>
  <si>
    <t>Solicitud trámite de pago certificado de cumplimiento Pago No. 1 contrato CO1.PCCNTR.7240157 - Nubia Estupiñan</t>
  </si>
  <si>
    <t>ESTUPIÑAN HURTADO NUBIA MARINA</t>
  </si>
  <si>
    <t>Solicitud trámite de pago certificado de cumplimiento Pago No. 01 contrato CO1.PCCNTR.7323805 Juan Pablo Cifuentes Niño</t>
  </si>
  <si>
    <t>CIFUENTES NIÑO JUAN PABLO</t>
  </si>
  <si>
    <t>Solicitud trámite de pago certificado de cumplimiento Pago No. 01 contrato CO1.PCCNTR. 7215087 del profesional SERGIO FERNANDO SÁNCHEZ DELGADO</t>
  </si>
  <si>
    <t>SANCHEZ DELGADO SERGIO FERNANDO</t>
  </si>
  <si>
    <t>Solicitud trámite de pago certificado de cumplimiento Pago No. 001 contrato No. CO1.PCCNTR.7203693</t>
  </si>
  <si>
    <t>HINCAPIE VILLAMIZAR LAURA PATRICIA</t>
  </si>
  <si>
    <t>Radicación certificado de cumplimiento Pago No 01 contrato CO1.PCCNTR.7253814 HENDRIX SUAREZ CÁRDENAS</t>
  </si>
  <si>
    <t>SUAREZ CARDENAS HENDRIX</t>
  </si>
  <si>
    <t>Solicitud trámite de pago certificado de cumplimiento Pago No. 01 contrato CO1.PCCNTR.7236456</t>
  </si>
  <si>
    <t>GARCIA RUEDA PAOLA ANDREA</t>
  </si>
  <si>
    <t>Solicitud trámite de pago certificado de cumplimiento Pago No. 1 contrato CO1.PCCNTR.7255926.</t>
  </si>
  <si>
    <t>Sánchez Mendoza Sandra Milena</t>
  </si>
  <si>
    <t>Solicitud trámite de pago certificado de cumplimiento Pago No. 1 contrato CO1.PCCNTR.7309915</t>
  </si>
  <si>
    <t>Luque Gónzalez Rafael Angelo</t>
  </si>
  <si>
    <t>Solicitud trámite de pago certificado de cumplimiento Pago No. 001 contrato CO1.PCCNTR.7230550</t>
  </si>
  <si>
    <t>BURGOS CUEVAS GLADYS MARIANELA</t>
  </si>
  <si>
    <t>Solicitud trámite de pago certificado de cumplimiento Pago No. 01 contrato CO1.PCCNTR.7298915</t>
  </si>
  <si>
    <t>GARCIA PAEZ MARLET YOJANA</t>
  </si>
  <si>
    <t>Solicitud trámite de pago certificado de cumplimiento Pago No. 1 CO1.PCCNTR.7255180 de Fernando Linares Castro.</t>
  </si>
  <si>
    <t>LINARES CASTRO FERNANDO</t>
  </si>
  <si>
    <t>Solicitud trámite de pago certificado de cumplimiento Pago No. 1 contrato CO1.PCCNTR. 7260523</t>
  </si>
  <si>
    <t>2024114140000219E</t>
  </si>
  <si>
    <t>SALGADO SALGUERO BLANCA DEL</t>
  </si>
  <si>
    <t>Solicitud trámite de pago certificado de cumplimiento Pago No. 1 contrato CO1.PCCNTR.7270418</t>
  </si>
  <si>
    <t>VARGAS ACUÑA GILDARDO ANDRES</t>
  </si>
  <si>
    <t>Solicitud trámite de pago certificado de cumplimiento Pago No.001 contrato CO1.PCCNTR.7238053 Brandon Stid Huaca Cuellar.</t>
  </si>
  <si>
    <t>HUACA CUELLAR BRANDON STID</t>
  </si>
  <si>
    <t>Certificado de cumplimiento - Pago 001 - Daniela Avila</t>
  </si>
  <si>
    <t>AVILA MONTENEGRO DANIELA ALEJANDRA</t>
  </si>
  <si>
    <t>Certificado de Cumplimiento del Pago No. 1 CO1.PCCNTR.7209522 BRAYAN JAVIER BAUTISTA PENAGOS</t>
  </si>
  <si>
    <t>CO1.PCCNTR. 7209522</t>
  </si>
  <si>
    <t>BAUTISTA PENAGOS BRAYAN JAVIER</t>
  </si>
  <si>
    <t>Solicitud trámite de pago certificado de cumplimiento Pago No. 001 Contrato CO1.PCCNTR. 7204712 a nombre de MILENA HERRERA DE LA HOZ</t>
  </si>
  <si>
    <t>MILENA DEL PILAR HERERA DE LA HOZ</t>
  </si>
  <si>
    <t>certificado de cumplimineto pago 1 CO1.PCCNTR.7214050 DARIO SANTISTEBAN MARTINEZ</t>
  </si>
  <si>
    <t>SANTISTEBAN MARTINEZ DARIO</t>
  </si>
  <si>
    <t>Certificado de Cumplimiento del Pago No. 1 CO1.PCCNTR.7299749 MIGUEL VIVEROS MIRA</t>
  </si>
  <si>
    <t>VIVEROS MIRA MIGUEL</t>
  </si>
  <si>
    <t>Certificado de Cumplimiento del Pago No. 1 CO1.PCCNTR.7237610 BOLIVAR ANDRES MONROY MATALLANA</t>
  </si>
  <si>
    <t>MONROY MATALLANA BOLIVAR ANDRES</t>
  </si>
  <si>
    <t>Certificado de Cumplimiento del Pago No. 1 CO1.PCCNTR.7236878 VERONICA ORTIZ CERON</t>
  </si>
  <si>
    <t>CO1.PCCNTR. 7236878</t>
  </si>
  <si>
    <t>ORTIZ CERON VERONICA</t>
  </si>
  <si>
    <t>Certificado de Cumplimiento del Pago No. 1 CO1.PCCNTR.7229767 MONICA MARIA RUEDA VEGA</t>
  </si>
  <si>
    <t>CO1.PCCNTR. 7229767</t>
  </si>
  <si>
    <t>RUEDA VEGA MONICA MARIA</t>
  </si>
  <si>
    <t>Certificado de Cumplimiento del Pago No. 1 CO1.PCCNTR.7212702 ADRIAN CAMILO CORTES VILLADA</t>
  </si>
  <si>
    <t>CO1.PCCNTR. 7212702</t>
  </si>
  <si>
    <t>CORTES VILLADA ADRIAN CAMILO</t>
  </si>
  <si>
    <t>Certificado de Cumplimiento del Pago No. 1 CO1.PCCNTR.7212382 ANDRES STEVEN MORALES RODRÍGUEZ</t>
  </si>
  <si>
    <t>MORALES RODRIGUEZ ANDRES STEVEN</t>
  </si>
  <si>
    <t>Certificado de Cumplimiento del Pago No. 1 CO1.PCCNTR.7300256 ANGELA PATRICIA TORRES LUNA</t>
  </si>
  <si>
    <t>2025114140100100E</t>
  </si>
  <si>
    <t>TORRES LUNA ANGELA PATRICIA</t>
  </si>
  <si>
    <t>Certificado de Cumplimiento del Pago No. 1 CO1.PCCNTR.7245419 LAURA FLECHAS MEJIA</t>
  </si>
  <si>
    <t>CO1.PCCNTR. 7245419</t>
  </si>
  <si>
    <t>FLECHAS MEJIA LAURA</t>
  </si>
  <si>
    <t>Certificado de Cumplimiento del Pago No. 1 CO1.PCCNTR.7236808 ERIKA JOHANNA FLÓREZ CHALA</t>
  </si>
  <si>
    <t>Florez Chala Erika Johana</t>
  </si>
  <si>
    <t>Certificado de Cumplimiento del Pago No. 1 CO1.PCCNTR.7230359 JUAN JOSÉ CASTAÑO GUTIÉRREZ</t>
  </si>
  <si>
    <t>CASTAÑO GUTIERREZ JUAN JOSE</t>
  </si>
  <si>
    <t>Certificado de Cumplimiento del Pago No. 1 CO1.PCCNTR.7299191 SARAY GISELLA GOMEZ GARNICA</t>
  </si>
  <si>
    <t>2025114140100097E</t>
  </si>
  <si>
    <t>GOMEZ GARNICA SARAY GISELLA</t>
  </si>
  <si>
    <t>Solicitud trámite de pago certificado de cumplimiento Pago No. 001 Contrato CO1.PCCNTR. 7209950 a nombre de EDWIN ANDRES GARCIA AMAYA</t>
  </si>
  <si>
    <t>GARCIA AMAYA EDWIN ANDRES</t>
  </si>
  <si>
    <t>Solicitud trámite de pago certificado de cumplimiento Pago No. 1 contrato CO1.PCCNTR.7309812</t>
  </si>
  <si>
    <t>BAEZ DELGADO RAUL</t>
  </si>
  <si>
    <t>Certificado de Cumplimiento del Pago No. 1 CO1.PCCNTR.7238309 LUIS GABRIEL ZARRATE POLANIA</t>
  </si>
  <si>
    <t>ZARRATE POLANIA LUIS GABRIEL FRANCISCO</t>
  </si>
  <si>
    <t>Certificado de Cumplimiento del Pago No. 1 CO1.PCCNTR.7212348 CATALINA CASTILLO VERDUGO</t>
  </si>
  <si>
    <t>CO1.PCCNTR. 7212348</t>
  </si>
  <si>
    <t>CASTILLO VERDUGO CATALINA</t>
  </si>
  <si>
    <t>Solicitud trámite de pago certificado de cumplimiento Pago No.01 contrato CO1.PCCNTR.7314388. ADRIANA YASMILI ROJAS ORTIZ.</t>
  </si>
  <si>
    <t>ROJAS ORTIZ ADRIANA YASMILI</t>
  </si>
  <si>
    <t>Solicitud trámite de pago certificado de cumplimiento Pago No. 1 contrato CO1.PCCNTR.7310313</t>
  </si>
  <si>
    <t>SALGADO BENITEZ NELSON ALBERTO</t>
  </si>
  <si>
    <t>Solicitud trámite de pago certificado de cumplimiento Pago No. 1 contrato CO1.PCCNTR.7314668</t>
  </si>
  <si>
    <t>BOLAÑOS OCAMPO CAROLINA</t>
  </si>
  <si>
    <t>Solicitud trámite de pago certificado de cumplimiento Pago No.001 contrato CO1.PCCNTR.7212893 Diana Marcela Páramo Montoya</t>
  </si>
  <si>
    <t>Paramo Montoya Diana Marcela</t>
  </si>
  <si>
    <t>Solicitud trámite de pago certificado de cumplimiento Pago No.01 contrato CO1.PCCNTR.7253621. Estefany Lizette Cajamarca Martínez</t>
  </si>
  <si>
    <t>CAJAMARCA MARTINEZ ESTEFANY LIZETTE</t>
  </si>
  <si>
    <t>Solicitud trámite de pago certificado de cumplimiento Pago No.01 contrato CO1.PCCNTR.7217655. EDISSON VELÁSQUEZ RIVERA.</t>
  </si>
  <si>
    <t>VELASQUEZ RIVERA EDISSON</t>
  </si>
  <si>
    <t>Solicitud trámite de pago certificado de cumplimiento Pago No. 01 contrato CO1.PCCNTR.7242992 a nombre de Edgar Saúl Vargas Soto</t>
  </si>
  <si>
    <t>VARGAS SOTO EDGAR SAUL</t>
  </si>
  <si>
    <t>Solicitud trámite de pago certificado de cumplimiento Pago No. 01 contrato No. CO1.PCCNTR.7233044 a nombre de CRISTIAN ELIECER BEDOYA GONZALEZ</t>
  </si>
  <si>
    <t>BEDOYA GONZALEZ CRISTIAN ELIECER</t>
  </si>
  <si>
    <t>Solicitud trámite de pago certificado de cumplimiento Pago No. 1 contrato CO1.PCCNTR.7299247 - CATALINA LONDOÑO PALACINO</t>
  </si>
  <si>
    <t>2025114140100103E</t>
  </si>
  <si>
    <t>LONDOÑO PALACINO CATALINA</t>
  </si>
  <si>
    <t>Solicitud trámite de pago certificado de cumplimiento Pago No. 001 contrato CO1.PCCNTR. 7208227</t>
  </si>
  <si>
    <t>BELTRAN HERRERA JUAN DAVID</t>
  </si>
  <si>
    <t>Solicitud trámite de pago certificado de cumplimiento Pago No. 1 Contrato CO1.PCCNTR.7265924 Ninroth Espinosa</t>
  </si>
  <si>
    <t>ESPINOSA MUÑOZ NINROTH</t>
  </si>
  <si>
    <t>Certificado de Cumplimiento del Pago No. 1 CO1.PCCNTR.7299167 ALISON XIMENA ROZO CRUZ</t>
  </si>
  <si>
    <t>ROZO CRUZ ALISON XIMENA</t>
  </si>
  <si>
    <t>Certificado de Cumplimiento del Pago No. 1 CO1.PCCNTR.7237232 DAVID ANDRES SERRATO TOBON</t>
  </si>
  <si>
    <t>SERRATO TOBON DAVID ANDRES</t>
  </si>
  <si>
    <t>Solicitud trámite de pago certificado de cumplimiento Pago No.001 contrato CO1.PCCNTR.7218018 ADRIÁN GUTIÉRREZ HUERTAS.</t>
  </si>
  <si>
    <t>GUTIERREZ HUERTAS ADRIAN</t>
  </si>
  <si>
    <t>Solicitud trámite de pago certificado de cumplimiento Pago No. 001 Contrato CO1.PCCNTR. 7205218 a nombre de LAURA VALENTINA SANIN MORALES</t>
  </si>
  <si>
    <t>SANIN MORALES LAURA VALENTINA</t>
  </si>
  <si>
    <t>Solicitud trámite de pago certificado certificado cumplimiento Pago No. 01 Contrato No. CO1.PCCNTR. 7253988 OSCAR IVAN MARQUEZ SALAZAR</t>
  </si>
  <si>
    <t>MARQUEZ SALAZAR OSCAR IVAN</t>
  </si>
  <si>
    <t>Solicitud trámite de pago certificado certificado cumplimiento Pago No. 01 Contrato No. CO1.PCCNTR.7319342 EDWIN ALEXANDER BAUTISTA HERNÁNDEZ</t>
  </si>
  <si>
    <t>BAUTISTA HERNANDEZ EDWIN ALEXANDER</t>
  </si>
  <si>
    <t>Certificado de Cumplimiento del Pago No. 1 CO1.PCCNTR.7207433 ROBERTO JOSE HERNANDEZ DAZ</t>
  </si>
  <si>
    <t>HERNANDEZ DAZA ROBERTO JOSE</t>
  </si>
  <si>
    <t>Solicitud de pago No.1 contrato CO1.PCCNTR.7212661. Karen Rodríguez</t>
  </si>
  <si>
    <t>RODRIGUEZ BARRERO KAREN JULIETH</t>
  </si>
  <si>
    <t>Solicitud pago 01 contrato 2025114140100088E a nombre de JEHISON DAVID CIFUENTES CORTES</t>
  </si>
  <si>
    <t>CIFUENTES CORTES JEHISON DAVID</t>
  </si>
  <si>
    <t>Solicitud trámite de pago certificado de cumplimiento Pago No. 01 contrato CO1.PCCNTR.7212724</t>
  </si>
  <si>
    <t>BERMUDEZ JIMENEZ STEFANNY ALEXANDRA</t>
  </si>
  <si>
    <t>Solicitud trámite de pago certificado de cumplimiento Pago No. 01 contrato CO1.PCCNTR. 7294342</t>
  </si>
  <si>
    <t>CO1.PCCNTR. 7294342</t>
  </si>
  <si>
    <t>PALOMEQUE LUJAN CARMEN YAJAIRA</t>
  </si>
  <si>
    <t>Solicitud trámite de pago certificado de cumplimiento Pago No. 01 contrato CO1.PCCNTR.7315420 -ADRIANA DURÁN CENTENO</t>
  </si>
  <si>
    <t>DURAN CENTENO ADRIANA</t>
  </si>
  <si>
    <t>Solicitud trámite de pago certificado de cumplimiento Pago No. 01 contrato CO1.PCCNTR. 7268541 - NANCY YURANY VANEGAS CELIS</t>
  </si>
  <si>
    <t>VANEGAS CELIS NANCY YURANY</t>
  </si>
  <si>
    <t>Certificado de Cumplimiento del Pago No. 1 CO1.PCCNTR.7230326 WILLMAN ANDRES RAMIREZ CARRILLO</t>
  </si>
  <si>
    <t>RAMIREZ CARRILLO WILLMAN ANDRES</t>
  </si>
  <si>
    <t>Solicitud trámite de pago certificado de cumplimiento Pago No. 001 contrato CO1.PCCNTR. 7210815 - Norma Constanza Tirado Roncancio.</t>
  </si>
  <si>
    <t>TIRADO RONCANCIO NORMA CONSTANZA</t>
  </si>
  <si>
    <t>Solicitud trámite de pago certificado de cumplimiento Pago No.1 contrato CO1.PCCNTR. 7322343</t>
  </si>
  <si>
    <t>PALACIOS VARGAS YULY TATIANA</t>
  </si>
  <si>
    <t>Solicitud trámite de pago - Certificado de cumplimiento Pago No. 01 - Contrato CO1.PCCNTR. 7215061 – Alexandra Cortes</t>
  </si>
  <si>
    <t>CORTES PARRA SINDY ALEXANDRA</t>
  </si>
  <si>
    <t>Solicitud trámite de pago certificado de cumplimiento Pago No.01 contrato CO1.PCCNTR.7264942. SANDRA MILENA ROMERO VARGAS</t>
  </si>
  <si>
    <t>ROMERO VARGAS SANDRA MILENA</t>
  </si>
  <si>
    <t>Solicitud trámite de pago certificado de cumplimiento Pago No. 01 contrato CO1.PCCNTR.7307572 Juan Camilo Sanchez Enero</t>
  </si>
  <si>
    <t>2025114140100096E</t>
  </si>
  <si>
    <t>CO1.PCCNTR. 7307572</t>
  </si>
  <si>
    <t>SANCHEZ SALAZAR JUAN CAMILO</t>
  </si>
  <si>
    <t>Solicitud trámite de pago certificado de cumplimiento Pago No. 01 contrato CO1.PCCNTR.7245598 María Camila Mejía Enero</t>
  </si>
  <si>
    <t>MEJÍA MADRID MARÍA CAMILA</t>
  </si>
  <si>
    <t>Solicitud trámite de pago certificado de cumplimiento Pago No. 01 contrato CO1.PCCNTR.7210854Johana Carolina Bastidas Burgos. Enero</t>
  </si>
  <si>
    <t>BASTIDAS BURGOS JOHANA CAROLINA</t>
  </si>
  <si>
    <t>Solicitud trámite de pago certificado de cumplimiento Pago No. 1 contrato No. CO1.PCCNTR.7322955 María Fernanda Corredor Benavides</t>
  </si>
  <si>
    <t>CORREDOR BENAVIDES MARIA FERNANDA</t>
  </si>
  <si>
    <t>SOLICITUD DE PAGO - DIEGO TORRES - CO1.PCCNTR.7311815</t>
  </si>
  <si>
    <t>TORRES AYALA DIEGO</t>
  </si>
  <si>
    <t>Certificado de cumplimiento No.1 - Elkin Javier Rojas</t>
  </si>
  <si>
    <t>2025114140000113E</t>
  </si>
  <si>
    <t>ROJAS ROA JAVIER ELKIN</t>
  </si>
  <si>
    <t>Solicitud trámite de pago certificado de cumplimiento Pago No. 1 Contrato CO1.PCCNTR.7233421 INFOMETRIKA SAS.</t>
  </si>
  <si>
    <t>NIT</t>
  </si>
  <si>
    <t>CONSULTORES EN INFORMACION INFOMETRIKA SAS</t>
  </si>
  <si>
    <t>Solicitud trámite de pago certificado de cumplimiento Pago No. 1 contrato CO1.PCCNTR.7263041</t>
  </si>
  <si>
    <t>2024114140100413E</t>
  </si>
  <si>
    <t>Sotelo Sanchez Cesar Hernan</t>
  </si>
  <si>
    <t>Solicitud trámite de pago certificado de cumplimiento Pago No. 1contrato CO1.PCCNTR. 7294133</t>
  </si>
  <si>
    <t>GOMEZ MARTINEZ PAOLA</t>
  </si>
  <si>
    <t>Solicitud trámite de pago certificado de cumplimiento Pago No. 01 Contrato CO1.PCCNTR.7245713 – NASHLA NAYELI GONZÁLEZ CLEVES</t>
  </si>
  <si>
    <t>GONZALEZ CLEVES NASHLA NAYELLI</t>
  </si>
  <si>
    <t>Solicitud trámite de pago certificado de cumplimiento Pago No. 1 contrato PCCNTR.7305544 Diego Peñaranda Enero</t>
  </si>
  <si>
    <t>2025114140100102E</t>
  </si>
  <si>
    <t>PEÑARANDA JUYO DIEGO JOSE</t>
  </si>
  <si>
    <t>Solicitud trámite de pago certificado de cumplimiento Pago No. 1 contrato CO1.PCCNTR. 7314969 David Céspedes Enero 2025</t>
  </si>
  <si>
    <t>CESPEDES RODRIGUEZ DAVID FELIPE</t>
  </si>
  <si>
    <t>Solicitud trámite de pago - certificado de cumplimiento Pago No. 001 contrato CO1.PCCNTR.7211982</t>
  </si>
  <si>
    <t>NIÑO GUARIN MARIA PAULA</t>
  </si>
  <si>
    <t>Solicitud trámite de pago certificado de cumplimiento Pago No. 01 contrato CO1.PCCNTR.7236551 - CHRISTIAN CAMILO VARGAS ARGÜELLO</t>
  </si>
  <si>
    <t>VARGAS ARGUELLO CHRISTIAN CAMILO</t>
  </si>
  <si>
    <t>Solicitud trámite de pago certificado de cumplimiento Pago No. 1 contrato CO1.PCCNTR.7239664 Juan David Cáceres Enero 2025</t>
  </si>
  <si>
    <t>CACERES MONTOYA JUAN DAVID</t>
  </si>
  <si>
    <t>Solicitud trámite de pago certificado de cumplimiento pago 01 Contrato No. CO1.PCCNTR.7316322 WILLIAM FERNANDO FONSECA REYES</t>
  </si>
  <si>
    <t>FONSECA REYES WILLIAM FERNANDO</t>
  </si>
  <si>
    <t>Solicitud trámite de pago certificado de cumplimiento Pago No. 1 contrato No.CO1.PCCNTR.7317033 Laura Carolina Berrio Flórez</t>
  </si>
  <si>
    <t>Berrio Florez Laura Carolina</t>
  </si>
  <si>
    <t>Solicitud trámite de pago certificado de cumplimiento Pago No. 01 contrato CO1.PCCNTR.7235879 -JUAN DAVID ARBELAEZ GALVEZ.</t>
  </si>
  <si>
    <t>ARBELAEZ GALVEZ JUAN DAVID</t>
  </si>
  <si>
    <t>Solicitud trámite de pago Certificado de Cumplimiento Pago No. 1 contrato CO1.PCCNTR.7196914 – Andrea Pedroza Molina</t>
  </si>
  <si>
    <t>PEDROZA MOLINA ANDREA</t>
  </si>
  <si>
    <t>Solicitud trámite de pago - certificado de cumplimiento Pago No. 001 contrato CO1.PCCNTR. 7243623</t>
  </si>
  <si>
    <t>BALLESTEROS SANCHEZ MARTHA ADRIANA CATALINA</t>
  </si>
  <si>
    <t>Solicitud trámite de pago certificado de cumplimiento Pago No.01 del contrato CO1.PCCNTR.7269456 a nombre de CARLOS ARTURO ACOSTA SANCHEZ.</t>
  </si>
  <si>
    <t>ACOSTA SANCHEZ CARLOS ARTURO</t>
  </si>
  <si>
    <t>Solicitud trámite de pago certificado de cumplimiento Pago No. 01 contrato CO1.PCCNTR.7333126 - NICOLAS FERNANDO BELTRAN ALEMAN.</t>
  </si>
  <si>
    <t>BELTRAN ALEMAN NICOLAS</t>
  </si>
  <si>
    <t>Solicitud trámite de pago certificado de cumplimiento Pago No. 01 contrato CO1.PCCNTR.7312242</t>
  </si>
  <si>
    <t>CASTELLANOS URIBE LINA MARITZA</t>
  </si>
  <si>
    <t>Solicitud trámite de pago certificado de cumplimiento Pago No. 01 contrato CO1.PCCNTR. 7218834 Aura Bermúdez</t>
  </si>
  <si>
    <t>BERMUDEZ AURA</t>
  </si>
  <si>
    <t>Solicitud trámite de pago certificado de cumplimiento Pago No. 1 Orden de compra No 140719 DISTRACOM S.A</t>
  </si>
  <si>
    <t>DISTRACOM S.A.</t>
  </si>
  <si>
    <t>Certificado Cumplimiento Pago_ENERO Ricardo Camargo</t>
  </si>
  <si>
    <t>CAMARGO BERNAL RICARDO ANTONIO</t>
  </si>
  <si>
    <t>Certificado de cumplimiento Pago No. 1 ARCHIVOS DEL ESTADO Y TECNOLOGÍAS DE LA INFORMACIÓN S.A.S</t>
  </si>
  <si>
    <t>ARCHIVOS DEL ESTADO Y TECNOLOGIAS DE LA INFORMACIÓN S.A.S.</t>
  </si>
  <si>
    <t>Certificado de cumplimiento John Edinson Quiñones cuenta de cobro 01 CO1.PCCNTR.7292780</t>
  </si>
  <si>
    <t>QUINONES VALENTIERRA JOHN EDINSON</t>
  </si>
  <si>
    <t>Solicitud trámite de pago certificado de cumplimiento Pago No. 01 contrato CO1.PCCNTR. 7316296</t>
  </si>
  <si>
    <t>PARAMO PAOLA ANDREA</t>
  </si>
  <si>
    <t>Solicitud trámite de pago certificado de cumplimiento Pago No. 01 contrato CO1.PCCNTR. 7333105</t>
  </si>
  <si>
    <t>MONROY CADAVID HECTOR GUSTAVO</t>
  </si>
  <si>
    <t>tercer pago ETB internet dedicado contrato CO1.PCCNTR.6960533 Supervisor Alexander Perez</t>
  </si>
  <si>
    <t>2024114140000418E</t>
  </si>
  <si>
    <t>CO1.PCCNTR.6960533</t>
  </si>
  <si>
    <t>ETB S.A. E.S.P.</t>
  </si>
  <si>
    <t>Solicitud trámite de pago Certificado de Cumplimiento Pago No. 1 contrato CO1.PCCNTR.7207531 – Karina Andrea Gómez Cely</t>
  </si>
  <si>
    <t>GOMEZ CELY KARINA ANDREA</t>
  </si>
  <si>
    <t>Solicitud trámite de pago certificado de cumplimiento Pago No. 001 contrato CO1.PCCNTR.7209574 DIANA CAROLINA ARMENTA CELIS</t>
  </si>
  <si>
    <t>ARMENTA CELIS DIANA CAROLINA</t>
  </si>
  <si>
    <t>Solicitud trámite de pago certificado de cumplimiento Pago No. 013 contrato CO1.PCCNTR. 5735887 Fiduciaria Bancolombia S.A.</t>
  </si>
  <si>
    <t>202411400033E</t>
  </si>
  <si>
    <t>CO1.PCCNTR.5735887 16997</t>
  </si>
  <si>
    <t>FIDUCIARIA BANCOLOMBIA S A SOCIEDAD FIDUCIARIA</t>
  </si>
  <si>
    <t>Asunto</t>
  </si>
  <si>
    <t>ID</t>
  </si>
  <si>
    <t>Nombres y Apellidos del supervisor</t>
  </si>
  <si>
    <t>Valor Bruto Pagado</t>
  </si>
  <si>
    <t>marzo</t>
  </si>
  <si>
    <t>Solicitud trámite de pago certificado de cumplimiento Pago No. 2 Orden de compra No 140719 DISTRACOM S.A</t>
  </si>
  <si>
    <t>SOLICITUD DE PAGO N°1 YEIMY TATIANA ACOSTA GUZMAN</t>
  </si>
  <si>
    <t>CC</t>
  </si>
  <si>
    <t>ACOSTA GUZMAN YEIMY TATIANA</t>
  </si>
  <si>
    <t>Solicitud trámite de pago certificado de cumplimiento Pago No. 02 contrato CO1.PCCNTR.7245575</t>
  </si>
  <si>
    <t>025114140100065E</t>
  </si>
  <si>
    <t>Solicitud trámite de pago certificado de cumplimiento Pago No. 02 contrato CO1.PCCNTR.7314668</t>
  </si>
  <si>
    <t>Solicitud trámite de pago certificado de cumplimiento Pago No. 01 contrato CO1.PCCNTR.7377021. Alejandra González Guañarita</t>
  </si>
  <si>
    <t>GONZALEZ GUANARITA ALEJANDRA</t>
  </si>
  <si>
    <t>SERGIO ANDRES PASTRANA PASTRANA</t>
  </si>
  <si>
    <t>SOLICITUD DE PAGO 002 - ARUCI KUARÁN - CO1.PCCNTR.7253311</t>
  </si>
  <si>
    <t>(F) Solicitud trámite de pago certificado de cumplimiento Pago No. 2 contrato CO1.PCCNTR. CO1.PCCNTR.7208871 Adriana Katherine Munar Aponte</t>
  </si>
  <si>
    <t>Solicitud trámite de pago - certificado de cumplimiento Pago No. 02 contrato CO1.PCCNTR.7323805 Juan Pablo Cifuentes Niño</t>
  </si>
  <si>
    <t>Solicitud trámite de pago certificado de cumplimiento Pago No. 002. Contrato CO1.PCCNTR. 7204712 a nombre de MILENA HERRERA DE LA HOZ</t>
  </si>
  <si>
    <t>Herrera de la Hoz Milena del Pilar</t>
  </si>
  <si>
    <t>DIANA CAMILA APONTE MARTIN</t>
  </si>
  <si>
    <t>Solicitud trámite de pago certificado de cumplimiento Pago No. 01 contrato CO1.PCCNTR.7474011. SOFIA SANCHEZ GRANADOS.</t>
  </si>
  <si>
    <t>SANCHEZ GRANADOS SOFIA</t>
  </si>
  <si>
    <t>Solicitud trámite de pago Pago No. 002 - JUAN ZUÑIGA - CO1.PCCNTR.7217580 -</t>
  </si>
  <si>
    <t>2024114140000318E</t>
  </si>
  <si>
    <t>Solicitud trámite de pago certificado de cumplimiento Pago No. 002 contrato CO1.PCCNTR. 7208227 - Juan David Beltrán</t>
  </si>
  <si>
    <t>ANGEL LOPEZ YENIFER KARINA</t>
  </si>
  <si>
    <t>Solicitud trámite de pago certificado de cumplimiento Pago No. 01 contrato CO1.PCCNTR. 7528061 CAMILO ENRIQUE ACHURY RODRIGUEZ</t>
  </si>
  <si>
    <t>ACHURY RODRIGUEZ CAMILO ENRIQUE</t>
  </si>
  <si>
    <t>Solicitud trámite de pago certificado de cumplimiento Pago No. 2 Contrato CO1.PCCNTR.7215006 JENNYFER FERNANDEZ</t>
  </si>
  <si>
    <t>Solicitud trámite de pago certificado de cumplimiento Pago No.2 contrato CO1.PCCNTR.7231698 de la profesional Jovana Negrete Flores.</t>
  </si>
  <si>
    <t>Solicitud trámite de pago certificado de cumplimiento Pago No. 02 contrato CO1.PCCNTR.7211854 de la profesional Angie Carolina Piñeros Guzmán</t>
  </si>
  <si>
    <t>1) En el certificado de cumplimiento deben corregir el valor de la casilla VALOR AUTORIZADO EN EL MES O PERIODO DE PAGO; 2) En las observaciones del informe de actividades colocaron que la planilla de aportes corresponde al año 2024. / 1) no adjuntaron certificado de cumplimiento; 2) no cargaron factura en SECOP; 3) En la cuenta de cobro colocaron año 2024.</t>
  </si>
  <si>
    <t>Solicitud trámite de pago certificado de cumplimiento Pago No. 02 contrato CO1.PCCNTR. 7215087 del profesional SERGIO FERNANDO SÁNCHEZ DELGADO</t>
  </si>
  <si>
    <t>Solicitud trámite de pago certificado de cumplimiento Pago No. 002 CO1.PCCNTR.7311815 - DIEGO TORRES</t>
  </si>
  <si>
    <t>SOLICITUD TRÁMITE DE PAGO - CERTIFICADO DE CUMPLIMIENTO PAGO NO. 01 CONTRATO CO1.PCCNTR.7526919 LUIS GIOVANNY PEÑA SOLANO</t>
  </si>
  <si>
    <t>PEÑA SOLANO LUIS GIOVANNY</t>
  </si>
  <si>
    <t>Solicitud trámite de pago certificado de cumplimiento Pago No. 01 contrato CO1.PCCNTR.7411325</t>
  </si>
  <si>
    <t>FONSECA BAQUERO CRISTIAN CAMILO</t>
  </si>
  <si>
    <t>Remisorio Certificado de cumplimiento</t>
  </si>
  <si>
    <t>LEONEL MAURCIO VELANDIA</t>
  </si>
  <si>
    <t>Solicitud trámite de pago certificado de cumplimiento Pago No. 02 contrato CO1.PCCNTR.7324781 Julián Esteban Santamaria Aragón</t>
  </si>
  <si>
    <t>Maria Carolina Obando Vargas</t>
  </si>
  <si>
    <t>Certificado de Cumplimiento Diana Carolina Bohorquez Gil - Pago 2, febreri 2025</t>
  </si>
  <si>
    <t>Diego Armando Vanegas Páez</t>
  </si>
  <si>
    <t>Solicitud trámite de pago certificado de cumplimiento Pago No. 01 contrato CO1.PCCNTR.7420515</t>
  </si>
  <si>
    <t>VELASCO MARIÑO MARCELLA MARIA</t>
  </si>
  <si>
    <t>David Ricardo Murcia Cortés</t>
  </si>
  <si>
    <t>Solicitud trámite de pago certificado de cumplimiento Pago No. 1 contrato CO1.PCCNTR.7402312 MARIA JOSE PATIÑO GUTIERREZ</t>
  </si>
  <si>
    <t>PATIÑO GUTIERREZ MARIA JOSE</t>
  </si>
  <si>
    <t>[F] Certificado de Cumplimiento del Pago No. 2 CO1.PCCNTR.7299749 MIGUEL VIVEROS MIRA</t>
  </si>
  <si>
    <t>Solicitud trámite de pago certificado de cumplimiento Pago No. 02 contrato CO1.PCCNTR. 7213573 - Andrea Gutierrez</t>
  </si>
  <si>
    <t>Certificado de cumplimiento del Pago No. 001 del contrato CO1.PCCNTR.7347456 a nombre de NICOLAS MUÑOZ MORA.</t>
  </si>
  <si>
    <t>2025114140100143E</t>
  </si>
  <si>
    <t>MUÑOZ MORA NICOLAS</t>
  </si>
  <si>
    <t>Solicitud trámite de pago certificado de cumplimiento Pago No. 002. Contrato CO1.PCCNTR. 7205218 a nombre de LAURA VALENTINA SANIN MORALES</t>
  </si>
  <si>
    <t>Solicitud trámite de pago certificado de cumplimiento Pago No. 2 contrato CO1.PCCNTR. 7328226</t>
  </si>
  <si>
    <t>Solicitud trámite de pago certificado de cumplimiento Pago No. 1 Contrato CO1.PCCNTR.7396905 JESSICA LORENA MURCIA VANEGAS</t>
  </si>
  <si>
    <t>MURCIA VANEGAS JESSICA LORENA</t>
  </si>
  <si>
    <t>Solicitud trámite de pago certificado de cumplimiento Pago No. 1 contrato CO1.PCCNTR.7462945</t>
  </si>
  <si>
    <t>OTERO LLANOS CAMILA ANDREA</t>
  </si>
  <si>
    <t>Solicitud trámite de pago certificado de cumplimiento Pago No. 2 contrato CO1.PCCNTR.7328240</t>
  </si>
  <si>
    <t>Solicitud trámite de pago certificado de cumplimiento Pago No. 02 contrato CO1.PCCNTR.7263732 Kevin Enrique Ramos Hernández</t>
  </si>
  <si>
    <t>Solicitud trámite de pago certificado de cumplimiento Pago No. 02 contrato CO1.PCCNTR.7262212 Gerardo Tejedor Pérez</t>
  </si>
  <si>
    <t>Solicitud trámite de pago certificado de cumplimiento Pago No.2 Karen Tatiana Girón</t>
  </si>
  <si>
    <t>Solicitud trámite de pago- certificado de cumplimiento. Pago No. 002 contrato CO1.PCCNT.7208702- MARÍA CAMILA HERRERA CHARRY.</t>
  </si>
  <si>
    <t>Ángela Marcela Lobo Beltrán</t>
  </si>
  <si>
    <t>Solicitud trámite de pago certificado de cumplimiento Pago No. 002 contrato CO1.PCCNTR.7213727</t>
  </si>
  <si>
    <t>Solicitud trámite de pago certificado de cumplimiento Pago No. 002 contrato CO1.PCCNTR.7230550</t>
  </si>
  <si>
    <t>Paula Johanna Ruiz Quintana</t>
  </si>
  <si>
    <t>Solicitud trámite de pago certificado de cumplimiento Pago No. 01 contrato CO1.PCCNT.7554825 del profesional Harol Andrey Avila Chocontá</t>
  </si>
  <si>
    <t>AVILA CHOCONTA HAROL ANDREY</t>
  </si>
  <si>
    <t>Solicitud trámite de pago certificado de cumplimiento Pago No 1 Nasly López</t>
  </si>
  <si>
    <t>LOPEZ CONTRERAS NASLY MABEL</t>
  </si>
  <si>
    <t>LUISA FERNANDA LÓPEZ ARIAS</t>
  </si>
  <si>
    <t>Solicitud trámite de pago certificado de cumplimiento Pago No. 02 contrato CO1.PCCNTR.7236456 Paola Andrea García Rueda</t>
  </si>
  <si>
    <t>Solicitud trámite de pago certificado de cumplimiento Pago No. 02 contrato No. CO1.PCCNTR.7233044 a nombre de CRISTIAN ELIECER BEDOYA GONZALEZ</t>
  </si>
  <si>
    <t>Solicitud trámite de pago certificado de cumplimiento Pago No. 002 contrato CO1.PCCNTR.7256686</t>
  </si>
  <si>
    <t>Solicitud trámite de pago certificado de cumplimiento Pago No. 02 contrato CO1.PCCNTR.7238540 del profesional Carlos Darío Cristiano Botia</t>
  </si>
  <si>
    <t>Solicitud trámite de pago - Certificado de cumplimiento Pago No. 02 - Contrato CO1.PCCNTR. 7215061 – Alexandra Cortes</t>
  </si>
  <si>
    <t>MAURICIO ANDRES PALMA OROZCO</t>
  </si>
  <si>
    <t>Certificado de Cumplimiento del Pago No. 2 - CO1.PCCNTR.7207433 ROBERTO JOSE HERNANDEZ DAZA</t>
  </si>
  <si>
    <t>Certificado de Cumplimiento del Pago No. 1 - CO1.PCCNTR.7365324 CARLOS ALBERTO MOLINA BERMUDEZ</t>
  </si>
  <si>
    <t>MOLINA BERMUDEZ CARLOS ALBERTO</t>
  </si>
  <si>
    <t>Certificado de Cumplimiento del Pago No. 1 - CO1.PCCNTR.7403833 Jose Antonio Barajas Villareal</t>
  </si>
  <si>
    <t>BARAJAS VILLARREAL JOSE ANTONIO</t>
  </si>
  <si>
    <t>JUAN DAVID GARCIA MORENO</t>
  </si>
  <si>
    <t>Solicitud trámite de pago certificado de cumplimiento Pago No. 01 contrato CO1.PCCNTR.7349615 Juan Libardo Avendaño Suarez</t>
  </si>
  <si>
    <t>2025114140100142E</t>
  </si>
  <si>
    <t>AVENDAÑO SUAREZ JUAN LIBARDO</t>
  </si>
  <si>
    <t>Certificado de Cumplimiento del Pago No. 1 - CO1.PCCNTR.7351711 Laura Isabel Gomez Torres</t>
  </si>
  <si>
    <t>2025114140100152E</t>
  </si>
  <si>
    <t>Gomez Torres Laura Isabel</t>
  </si>
  <si>
    <t>Solicitud trámite de pago certificado de cumplimiento Pago No. 2 contrato CO1.PCCNTR.7255926.</t>
  </si>
  <si>
    <t>LUISA FERNANDA CORREA OSORIO</t>
  </si>
  <si>
    <t>Solicitud trámite de pago certificado de cumplimiento Pago No. 02 contrato CO1.PCCNTR.7238896</t>
  </si>
  <si>
    <t>Solicitud trámite de pago certificado de cumplimiento Pago No. 01 contrato CO1.PCCNTR. 7340328 Julieth Garcia</t>
  </si>
  <si>
    <t>2025114140100138E</t>
  </si>
  <si>
    <t>GARCIA VARGAS JULIETH MARCELA</t>
  </si>
  <si>
    <t>Solicitud trámite de pago certificado de cumplimiento Pago No. 2 Contrato CO1.PCCNTR.7270418</t>
  </si>
  <si>
    <t>Solicitud trámite de pago certificado de cumplimiento Pago No.002 contrato CO1.PCCNTR.7238053 Brandon Stid Huaca Cuellar.</t>
  </si>
  <si>
    <t>Luis Fernando López Pineda</t>
  </si>
  <si>
    <t>Solicitud trámite de pago certificado de cumplimiento Pago No. 002. Contrato CO1.PCCNTR. 7209950 a nombre de EDWIN ANDRES GARCIA AMAYA</t>
  </si>
  <si>
    <t>DIANA CAMILA APONTE MARTÍN</t>
  </si>
  <si>
    <t>Solicitud trámite de pago certificado de cumplimiento Pago No. 2 contrato CO1.PCCNTR.7240157 a nombre de Nubia Marina Estupiñan</t>
  </si>
  <si>
    <t>Solicitud trámite de pago certificado de cumplimiento Pago No. 02 contrato CO1.PCCNTR.7333126 - NICOLAS FERNANDO BELTRAN ALEMAN.</t>
  </si>
  <si>
    <t>JOHANA CONSTANZA VARGAS FERRUCHO</t>
  </si>
  <si>
    <t>Solicitud trámite de pago certificado de cumplimiento Pago No. 02 contrato CO1.PCCNTR. 7294342 - CARMEN YAJAIRA PALOMEQUE LUJÁN</t>
  </si>
  <si>
    <t>Solicitud trámite de pago certificado de cumplimiento Pago No.1 contrato CO1.PCCNTR.7394519 a nombre de Alejandra Sandoval</t>
  </si>
  <si>
    <t>SANDOVAL CUELLAR ALEJANDRA</t>
  </si>
  <si>
    <t>[I] Certificado de Cumplimiento del Pago No. 2 CO1.PCCNTR.7236808 ERIKA JOHANNA FLÓREZ CHALA</t>
  </si>
  <si>
    <t>[I] Certificado de Cumplimiento del Pago No. 2 CO1.PCCNTR.7236878 VERONICA ORTIZ CERON</t>
  </si>
  <si>
    <t>[I] Certificado de Cumplimiento del Pago No. 2 CO1.PCCNTR.7237610 BOLIVAR ANDRES MONROY MATALLANA</t>
  </si>
  <si>
    <t>Certificado de Cumplimiento Cuenta de cobro 1 febrero clausulado CO1.PCCNTR.7340461 Katherine Rodríguez León</t>
  </si>
  <si>
    <t>Rodriguez Leon Katherine</t>
  </si>
  <si>
    <t>Certificado de Cumplimiento del Pago No. 2 - CO1.PCCNTR.7237232 DAVID ANDRES SERRATO TOBON</t>
  </si>
  <si>
    <t>[F] Certificado de Cumplimiento del Pago No. 2 CO1.PCCNTR.7209522 BRAYAN JAVIER BAUTISTA PENAGOS</t>
  </si>
  <si>
    <t>Certificado de Cumplimiento del Pago No. 1 - CO1.PCCNTR.7364386 ALEJANDRA JIMENEZ RODAS</t>
  </si>
  <si>
    <t>JIMENEZ RODAS ALEJANDRA</t>
  </si>
  <si>
    <t>[I] Certificado de Cumplimiento del Pago No. 1 CO1.PCCNTR.7335693 ELKIN EDUARDO RAMÍREZ PRIETO</t>
  </si>
  <si>
    <t>2025114140100133E</t>
  </si>
  <si>
    <t>RAMIREZ PRIETO ELKIN EDUARDO</t>
  </si>
  <si>
    <t>Solicitud trámite de pago certificado de cumplimiento Pago No. 2 contrato CO1.PCCNTR.7310313</t>
  </si>
  <si>
    <t>LUIS ANDRES PRIETO MATEUS</t>
  </si>
  <si>
    <t>Solicitud trámite de pago certificado de cumplimiento Pago No. 1. Contrato CO1.PCCNTR.7393821 ANGIE ANDREA MONTOYA GONZALEZ</t>
  </si>
  <si>
    <t>MONTOYA GONZALEZ ANGIE ANDREA</t>
  </si>
  <si>
    <t>ANGELICA VANESSA ALDANA URREA</t>
  </si>
  <si>
    <t>Solicitud trámite de pago certificado de cumplimiento Pago No. 1 Contrato CO1.PCCNTR.7539548 JAVIER HERNANDO PAVA SALAMANCA</t>
  </si>
  <si>
    <t>PAVA SALAMANCA JAVIER HERNANDO</t>
  </si>
  <si>
    <t>certificado de cumplimiento Pago No. 02 contrato CO1.PCCNTR. 7316296</t>
  </si>
  <si>
    <t>JAIME EDUARDO HINCAPIE ORREGO</t>
  </si>
  <si>
    <t>[F] Certificado de Cumplimiento del Pago No. 1 CO1.PCCNTR.7368867 JAVIER EDUARDO CHACON SUAREZ</t>
  </si>
  <si>
    <t>CHACON SUAREZ JAVIER EDUARDO</t>
  </si>
  <si>
    <t>[F] Certificado de Cumplimiento del Pago No. 1 CO1.PCCNTR.7397082 JUAN DAVID GONZALEZ ARENAS</t>
  </si>
  <si>
    <t>GONZALEZ ARENAS JUAN DAVID</t>
  </si>
  <si>
    <t>Solicitud trámite de pago certificado de cumplimiento Pago No. 01 Contrato CO1.PCCNTR.7399826 – LAURA MILENA SIERRA RAMÍREZ</t>
  </si>
  <si>
    <t>SIERRA RAMIREZ LAURA MILENA</t>
  </si>
  <si>
    <t>Santiago Hurtado Rodriguez</t>
  </si>
  <si>
    <t>Solicitud trámite de pago certificado de cumplimiento Pago No. 02 contrato CO1.PCCNTR. 7268541</t>
  </si>
  <si>
    <t>Solicitud trámite de pago - Certificado de cumplimiento Pago No. 1 - Contrato CO1.PCCNTR.7410256 - CAMILO ANDRÉS TOVAR PERILLA</t>
  </si>
  <si>
    <t>TOVAR PERILLA CAMILO ANDRES</t>
  </si>
  <si>
    <t>Solicitud trámite de pago certificado de cumplimiento Pago No. 01 contrato CO1.PCCNTR.7403891</t>
  </si>
  <si>
    <t>CIFUENTES GRUESO LAURA VICTORIA</t>
  </si>
  <si>
    <t>Certificado de cumplimiento del Pago No. 02 del contrato CO1.PCCNTR.7259306 a nombre de OLGA ESTELLA RAMÍREZ YAIMA.</t>
  </si>
  <si>
    <t>JOHANNA ALEXANDRA LARROTTA CORTES</t>
  </si>
  <si>
    <t>Solicitud trámite de pago certificado de cumplimiento Pago No.001 contrato CO1.PCCNTR.7367128</t>
  </si>
  <si>
    <t>RODRIGUEZ TUTA FELIPE</t>
  </si>
  <si>
    <t>LUZ ADRIANA DUQUE CALLE</t>
  </si>
  <si>
    <t>Certificado de cumplimiento Pago No. 02 contrato CO1.PCCNTR. 7333105</t>
  </si>
  <si>
    <t>Solicitud trámite de pago certificado de cumplimiento Pago No. 2 contrato CO1.PCCNTR.7292780</t>
  </si>
  <si>
    <t>DORA LILIAM CASTAÑO RAMIREZ</t>
  </si>
  <si>
    <t>Solicitud trámite de pago - Certificado de cumplimiento Pago No. 2 - Contrato CO1.PCCNTR.7218727 PAOLA ANDREA TORRES CHACON</t>
  </si>
  <si>
    <t>Solicitud trámite de pago certificado de cumplimiento Pago No. 01 contrato CO1.PCCNTR.7401156 Jesús Eduardo Sánchez Daza</t>
  </si>
  <si>
    <t>SANCHEZ DAZA JESUS EDUARDO</t>
  </si>
  <si>
    <t>Solicitud trámite de pago certificado de cumplimiento Pago No. 01 contrato CO1.PCCNTR. 7366385 - MARIA PAULA CORRALES MENDOZA</t>
  </si>
  <si>
    <t>CORRALES MENDOZA MARIA PAULA</t>
  </si>
  <si>
    <t>Solicitud trámite de pago certificado de cumplimiento Pago No. 002 contrato No. CO1.PCCNTR.7203693</t>
  </si>
  <si>
    <t>Certificado de cumplimiento Pago No. 01 contrato CO1.PCCNTR. 7356828</t>
  </si>
  <si>
    <t>2025114140100155E</t>
  </si>
  <si>
    <t>RINCON BAUTISTA DAVID FERNANDO</t>
  </si>
  <si>
    <t>Certificado de cumplimiento para el pago No. 1 del contrato CO1.PCCNTR.7431674 suscrito con Carlos Salomón Sáenz Díaz</t>
  </si>
  <si>
    <t>SAENZ DIAZ CARLOS SALOMON</t>
  </si>
  <si>
    <t>GRIGORY IBRAHIM MASSY SANCHEZ</t>
  </si>
  <si>
    <t>Solicitud de pago No.1 contrato CO1.PCCNTR.7343441. David Chitiva</t>
  </si>
  <si>
    <t>CHITIVA LOZADA BRAJHAM DAVID</t>
  </si>
  <si>
    <t>JOSÉ DANIEL HURTADO SOLÍS</t>
  </si>
  <si>
    <t>CERTIFICADO DE CUMPLIMIENTO ASDRUBAL PAGO 2</t>
  </si>
  <si>
    <t>PAOLA ANDREA PINO OSORIO</t>
  </si>
  <si>
    <t>SEGUNDO PAGO NINRTOH ESPINOSA MUÑOZ CONTRATO CO1.PCCNTR.7265924</t>
  </si>
  <si>
    <t>EDGAR ALEXANDER PEREZ GUAVITA</t>
  </si>
  <si>
    <t>Solicitud trámite de pago certificado de cumplimiento Pago No. 2 contrato CO1.PCCNTR.7212348</t>
  </si>
  <si>
    <t>INGRID GISSELLA QUIROGA MOJICA</t>
  </si>
  <si>
    <t>Solicitud de pago No.1 contrato CO1.PCCNTR.7343412. Willian Fernando Villamil Castañeda</t>
  </si>
  <si>
    <t>2025114140100132E</t>
  </si>
  <si>
    <t>VILLAMIL CASTAÑEDA WILLIAM FERNANDO</t>
  </si>
  <si>
    <t>Solicitud trámite de pago certificado de cumplimiento Pago No. 01 contrato CO1.PCCNTR.7377761 Leidy Vera Febrero</t>
  </si>
  <si>
    <t>VERA RUNCERIA LEIDY BRIGITH</t>
  </si>
  <si>
    <t>Solicitud trámite de pago certificado de cumplimiento Pago No. 02 contrato CO1.PCCNTR.7245598 febrero_ Maria Camila Mejia</t>
  </si>
  <si>
    <t>Solicitud de pago No.1 contrato CO1.PCCNTR.7421118. Juan Felipe Alvarado Rodríguez</t>
  </si>
  <si>
    <t>ALVARADO RODRIGUEZ JUAN FELIPE</t>
  </si>
  <si>
    <t>SERGIO ANDRÉS CUBILLOS CABRERA</t>
  </si>
  <si>
    <t>Solicitud trámite de pago certificado de cumplimiento Pago No. 1 contrato CO1.PCCNTR. 7341034</t>
  </si>
  <si>
    <t>BELTRAN MORATTO MAGDA LILIANA</t>
  </si>
  <si>
    <t>FERNANDO CARDEÑO LOPEZ</t>
  </si>
  <si>
    <t>Solicitud trámite de pago certificado de cumplimiento Pago No. 1 contrato CO1.PCCNTR. 7477901</t>
  </si>
  <si>
    <t>GOMEZ HERRERA CLAUDIA LORENA</t>
  </si>
  <si>
    <t>Solicitud trámite de pago certificado de cumplimiento Pago No. 01 contrato CO1.PCCNTR.7421801 - David Andrés Sánchez Torres</t>
  </si>
  <si>
    <t>SANCHEZ TORRES DAVID ANDRES</t>
  </si>
  <si>
    <t>Solicitud trámite de pago certificado de cumplimiento Pago No. 02 contrato CO1.PCCNTR.7245713 – NASHLA NAYELI GONZÁLEZ CLEVES</t>
  </si>
  <si>
    <t>CESAR AUGUSTO PINEDA GOMEZ</t>
  </si>
  <si>
    <t>Solicitud trámite de pago - Certificado de cumplimiento Pago No. 2 - Contrato CO1.PCCNTR.7250418 - ADRIANA CRISTINA BARRERA CASTRO</t>
  </si>
  <si>
    <t>Solicitud trámite de pago certificado de cumplimiento Pago No. 1 Contrato CO1.PCCNTR.7351217 JORGE ESTEBAN CASTRO GUALDRON</t>
  </si>
  <si>
    <t>CASTRO GUALDRON JORGE ESTEBAN</t>
  </si>
  <si>
    <t>Solicitud trámite de pago certificado de cumplimiento Pago No. 2 contrato No CO1.PCCNTR.7216895 Magnery Edith Vargas Morales.</t>
  </si>
  <si>
    <t>GENY ESPERANZA PALACIOS</t>
  </si>
  <si>
    <t>Solicitud trámite de pago certificado de cumplimiento Pago No. 01 contrato CO1.PCCNTR.7347019 -GIOVANNY ALEXANDER SANABRIA VELÁZQUEZ</t>
  </si>
  <si>
    <t>2025114140100150E</t>
  </si>
  <si>
    <t>SANABRIA VELAZQUEZ GIOVANNY ALEXANDER</t>
  </si>
  <si>
    <t>Solicitud trámite de pago certificado de cumplimiento Pago No. 01 contrato CO1.PCCNTR. 7344961 - RAFAEL ENRIQUE RIOS OSORIO</t>
  </si>
  <si>
    <t>RIOS OSORIO RAFAEL ENRIQUE</t>
  </si>
  <si>
    <t>Solicitud trámite de pago certificado de cumplimiento Pago No. 02 contrato CO1.PCCNTR.7215046 de 2025. David Leonardo Peña González.</t>
  </si>
  <si>
    <t>MANUEL PEÑA SUÁREZ</t>
  </si>
  <si>
    <t>Solicitud Pago No 2 contrato CO1.PCCNTR.7253814</t>
  </si>
  <si>
    <t>GUSTAVO ADULFO BAQUERO CANDIA</t>
  </si>
  <si>
    <t>Certificado de cumplimiento del Pago No. 2 del contrato CO1.PCCNTR.7263041 a nombre de CESAR HERNAN SOTELO SANCHEZ</t>
  </si>
  <si>
    <t>segundo pago Fernando Linares Castro CO1.PCCNTR.7255180 supervisor Alexander Perez Guavita</t>
  </si>
  <si>
    <t>Certificado de Cumplimiento del Pago No. 2 - CO1.PCCNTR.7230359 JUAN JOSE CASTAÑO GUTIERREZ</t>
  </si>
  <si>
    <t>Certificado de Cumplimiento del Pago No. 2 - CO1.PCCNTR.7212382 ANDRES STEVEN MORALES RODRÍGUEZ</t>
  </si>
  <si>
    <t>Certificado de Cumplimiento del Pago No. 2 - CO1.PCCNTR.7300256 ANGELA PATRICIA TORRES LUNA</t>
  </si>
  <si>
    <t>Certificado de Cumplimiento del Pago No. 2 CO1.PCCNTR.7230326 WILLMAN ANDRES RAMIREZ CARRILLO</t>
  </si>
  <si>
    <t>Certificado de Cumplimiento del Pago No. 1 - CO1.PCCNTR.7423185 MARIA XIMENA CACERES PRADO</t>
  </si>
  <si>
    <t>CACERES PRADO MARIA XIMENA</t>
  </si>
  <si>
    <t>Certificado de Cumplimiento del Pago No. 1 - CO1.PCCNTR.7478008 ANDREA LACHE MUÑOZ</t>
  </si>
  <si>
    <t>LACHE MUÑOZ ANDREA</t>
  </si>
  <si>
    <t>[F] Certificado de Cumplimiento del Pago No. 1 CO1.PCCNTR.7459870 CINDY JULIETH MONTAÑEZ GUILLEN</t>
  </si>
  <si>
    <t>MONTAÑEZ GUILLEN CINDY JULIETH</t>
  </si>
  <si>
    <t>[F] Certificado de Cumplimiento del Pago No. 2 CO1.PCCNTR.7212702 ADRIAN CAMILO CORTES VILLADA</t>
  </si>
  <si>
    <t>[F] Certificado de Cumplimiento del Pago No. 1 CO1.PCCNTR.7451843 EMMANUEL JOSE MANZANO VERJEL</t>
  </si>
  <si>
    <t>MANZANO VERJEL EMMANUEL</t>
  </si>
  <si>
    <t>Solicitud trámite de pago certificado de cumplimiento Pago No.2 contrato CO1.PCCNTR.7212661 Karen Julieth Rodríguez Barrero.</t>
  </si>
  <si>
    <t>Solicitud trámite de pago No.1 contrato CO1.PCCNTR.7343405. Sonia Echeverria Rojas</t>
  </si>
  <si>
    <t>2025114140100134E</t>
  </si>
  <si>
    <t>ECHEVERRIA ROJAS SONIA ESPERANZA</t>
  </si>
  <si>
    <t>MANUEL OCTAVIO ACEVEDO ILES</t>
  </si>
  <si>
    <t>Solicitud trámite de Pago No.1 contrato CO1.PCCNTR.7343482. Fredy Gómez Martínez</t>
  </si>
  <si>
    <t>2025114140100130E</t>
  </si>
  <si>
    <t>GOMEZ MARTINEZ FREDY AUGUSTO</t>
  </si>
  <si>
    <t>Solicitud trámite de pago No.002 contrato CO1.PCCNTR.7212893 Diana Paramo</t>
  </si>
  <si>
    <t>Solicitud trámite de pago certificado de cumplimiento Pago No. 01 contrato CO1.PCCNTR. 7348425 Olga Rojas Solorzano</t>
  </si>
  <si>
    <t>ROJAS SOLORZANO OLGA LUCIA</t>
  </si>
  <si>
    <t>[F] Certificado de Cumplimiento del Pago No. 1 CO1.PCCNTR.7366311 NICOLAS AUGUSTO MARIN PINZON</t>
  </si>
  <si>
    <t>MARIN PINZON NICOLAS AUGUSTO</t>
  </si>
  <si>
    <t>[F] Certificado de Cumplimiento del Pago No. 1 CO1.PCCNTR.7482219 LADY CAROLINA GIRALDO BELLO</t>
  </si>
  <si>
    <t>GIRALDO BELLO LADY CAROLINA</t>
  </si>
  <si>
    <t>Solicitud trámite de pago certificado de cumplimiento Pago No. 001 contrato CO1.PCCNTR.7401119 - ALEJANDRO RODRIGUEZ</t>
  </si>
  <si>
    <t>RODRIGUEZ PARRA LUIS ALEJANDRO</t>
  </si>
  <si>
    <t>[I] Certificado de Cumplimiento del Pago No. 2 CO1.PCCNTR.7245419 LAURA FLECHAS MEJIA</t>
  </si>
  <si>
    <t>RUTH ADRIANA NAVAS CONTRERAS</t>
  </si>
  <si>
    <t>[I] Certificado de Cumplimiento del Pago No. 1 CO1.PCCNTR.7408024 PAULA NATALIA RIVERO.</t>
  </si>
  <si>
    <t>RIVEROS MELO PAULA NATALIA</t>
  </si>
  <si>
    <t>Solicitud trámite de pago - Certificado de cumplimiento Pago No. 1 - Contrato CO1.PCCNTR.7448707 - DIANA CAROLINA ARIAS BUITRAGO</t>
  </si>
  <si>
    <t>ARIAS BUITRAGO DIANA CAROLINA</t>
  </si>
  <si>
    <t>Solicitud trámite de pago certificado de cumplimiento Pago No. 01 contrato CO1.PCCNTR.7405504</t>
  </si>
  <si>
    <t>OSORIO ARROYAVE ESTEFANY</t>
  </si>
  <si>
    <t>DIANA PATRICIA SERRANO SANCHEZ</t>
  </si>
  <si>
    <t>[F] Certificado de Cumplimiento del Pago No. 1 CO1.PCCNTR.7479804 CRISTIAN ALEJANDRO BLANCO MARTINEZ.</t>
  </si>
  <si>
    <t>BLANCO MARTINEZ CRISTIAN ALEJANDRO</t>
  </si>
  <si>
    <t>[F] Certificado de Cumplimiento del Pago No. 2 CO1.PCCNTR.7229767 MONICA MARIA RUEDA VEGA</t>
  </si>
  <si>
    <t>CERTIFICADO DE CUMPLIMIENTO YEIMY BUITRAGO PAGO 2</t>
  </si>
  <si>
    <t>Solicitud trámite de pago certificado de cumplimiento Pago No.02 contrato CO1.PCCNTR.7314388. ADRIANA YASMILI ROJAS ORTIZ.</t>
  </si>
  <si>
    <t>Solicitud trámite de pago certificado de cumplimiento Pago No.02 contrato CO1.PCCNTR.7264942. SANDRA MILENA ROMERO VARGAS</t>
  </si>
  <si>
    <t>Solicitud trámite de pago certificado de cumplimiento Pago No.02 contrato CO1.PCCNTR.7253621. Estefany Lizette Cajamarca Martinez</t>
  </si>
  <si>
    <t>Solicitud trámite de pago certificado de cumplimiento Pago No.02 contrato CO1.PCCNTR.7217655. EDISSON VELÁSQUEZ RIVERA.</t>
  </si>
  <si>
    <t>Solicitud trámite de pago certificado de cumplimiento Pago No.002 contrato CO1.PCCNTR.7218018 ADRIÁN GUTIÉRREZ HUERTAS.</t>
  </si>
  <si>
    <t>JORGE EDUARDO ZULUAGA OROZCO</t>
  </si>
  <si>
    <t>Solicitud trámite de pago certificado de cumplimiento Pago No.001 contrato CO1.PCCNTR.7353401 GERSSON IVAN SANCHEZ ALVAREZ.</t>
  </si>
  <si>
    <t>2025114140100153E</t>
  </si>
  <si>
    <t>SANCHEZ ALVAREZ GERSSON IVAN</t>
  </si>
  <si>
    <t>Solicitud trámite de Pago No. 02 contrato CO1.PCCNTR. 7298915 a nombre de MARLET YOJANA GARCÍA PÁEZ</t>
  </si>
  <si>
    <t>Solicitud trámite de pago certificado de cumplimiento Pago No.02 del contrato CO1.PCCNTR.7269456 a nombre de CARLOS ARTURO ACOSTA SANCHEZ.</t>
  </si>
  <si>
    <t>Solicitud trámite de pago certificado de cumplimiento Pago No. 01 contrato CO1.PCCNTR.7401123</t>
  </si>
  <si>
    <t>BOSSIO RAMOS ARMANDO JOSE</t>
  </si>
  <si>
    <t>Solicitud trámite de pago certificado de cumplimiento Pago No. 02 contrato CO1.PCCNTR.7242992 a nombre de Edgar Saúl Vargas Soto</t>
  </si>
  <si>
    <t>Solicitud trámite pago 02 Oscar Ivan Marquez</t>
  </si>
  <si>
    <t>Certificado de Cumplimiento Pago No. 2 Contrato CO1.PCCNTR.7233421 INFOMETRIKA SAS</t>
  </si>
  <si>
    <t>[I] Certificado de Cumplimiento del Pago No. 1 CO1.PCCNTR.7339853 SOFIA DELGADO RAMOS.</t>
  </si>
  <si>
    <t>2025114140100141E</t>
  </si>
  <si>
    <t>DELGADO RAMOS SOFIA</t>
  </si>
  <si>
    <t>Solicitud trámite de pago certificado de cumplimiento Pago No. 01 contrato CO1.PCCNTR.7349227</t>
  </si>
  <si>
    <t>2025114140100146E</t>
  </si>
  <si>
    <t>SANTAMARIA MOSQUERA WILSON DIDIER</t>
  </si>
  <si>
    <t>Solicitud trámite de pago certificado de cumplimiento Pago No.02 del contrato CO1.PCCNTR.7309915 a nombre de RAFAEL ÁNGELO LUQUE GONZÁLEZ.</t>
  </si>
  <si>
    <t>Solicitud trámite de pago certificado de cumplimiento Pago No. 2, contrato CO1.PCCNTR.7309812 RAUL BAEZ DELGAGO</t>
  </si>
  <si>
    <t>[F] Certificado de Cumplimiento del Pago No. 2 CO1.PCCNTR.7299191 SARAY GISELLA GOMEZ GARNICA</t>
  </si>
  <si>
    <t>ROBINSON ALEXANDER GONZÁLEZ PARRA</t>
  </si>
  <si>
    <t>Solicitud trámite de pago certificado de cumplimiento Pago No. 1 contrato CO1.PCCNTR. 7339270 Ivonn Mariño</t>
  </si>
  <si>
    <t>2025114140100139E</t>
  </si>
  <si>
    <t>MARIÑO HIGUERA IVONN MARLLERY</t>
  </si>
  <si>
    <t>Solicitud trámite de pago certificado de cumplimiento Pago No. 02 contrato CO1.PCCNTR.7307572 Febrero Juan Camilo Sanchez</t>
  </si>
  <si>
    <t>[I] Certificado de Cumplimiento del Pago No. 1 CO1.PCCNTR.7412289 MARYENI KARINA ENRÍQUEZ ENRÍQUEZ.</t>
  </si>
  <si>
    <t>ENRIQUEZ ENRIQUEZ MARYENI KARINA</t>
  </si>
  <si>
    <t>Robinson Alexander González Parra</t>
  </si>
  <si>
    <t>Solicitud trámite de pago certificado de cumplimiento Pago No. 02 contrato CO1.PCCNTR.7312242 Lina Maritza Castellano</t>
  </si>
  <si>
    <t>SANDRA MILENA ALZATE OCAMPO</t>
  </si>
  <si>
    <t>Solicitud trámite de pago certificado de cumplimiento Pago No. 01 contrato No CO1.PCCNTR.7504677 de BIBIANA CALDERON SIERRA</t>
  </si>
  <si>
    <t>CALDERON SIERRA BIBIANA</t>
  </si>
  <si>
    <t>(F) Certificado de Cumplimiento del Pago No. 2 CO1.PCCNTR.7299167 ALISON XIMENA ROZO CRUZ</t>
  </si>
  <si>
    <t>Solicitud trámite de pago certificado de cumplimiento Pago No.1 contrato CO1.PCCNTR.7411663</t>
  </si>
  <si>
    <t>GONZALEZ GARZON CRISTHIAN CAMILO</t>
  </si>
  <si>
    <t>Solicitud trámite de pago certificado de cumplimiento Pago No.002 contrato CO1.PCCNTR.7411636 WILMER GUZMAN ESTUPIÑAN.</t>
  </si>
  <si>
    <t>GUZMAN ESTUPIÑAN WILMER</t>
  </si>
  <si>
    <t>Solicitud trámite de pago certificado de cumplimiento Pago No.002 contrato CO1.PCCNTR.7419999 DAVID ANDRES MONROY CAMARGO.</t>
  </si>
  <si>
    <t>MONROY CAMARGO DAVID ANDRES</t>
  </si>
  <si>
    <t>Solicitud trámite de pago certificado de cumplimiento Pago No.001 contrato CO1.PCCNTR.7412208 ANGIE TATIANA CASTAÑEDA SANCHEZ.</t>
  </si>
  <si>
    <t>CASTAÑEDA SANCHEZ ANGIE TATIANA</t>
  </si>
  <si>
    <t>Solicitud trámite de pago certificado de cumplimiento Pago No. 1 contrato CO1.PCCNTR. 7367652 Angie Becerra febrero</t>
  </si>
  <si>
    <t>BARRERA BECERRA ANGIE KATHERINE</t>
  </si>
  <si>
    <t>[F] Certificado de Cumplimiento del Pago No. 1 CO1.PCCNTR.7368367 JOHN ALEXANDER SANCHEZ CARDOZO</t>
  </si>
  <si>
    <t>SANCHEZ CARDOZO JOHN ALEXANDER</t>
  </si>
  <si>
    <t>Certificado de cumplimiento pago N° 2 contrato CO1.PCCNTR. 7297643 ARCHIVOS DEL ESTADO Y TECNOLOGÍAS DE LA INFORMACIÓN S.A.S</t>
  </si>
  <si>
    <t>Solicitud trámite de pago certificado de cumplimiento Pago No. 2 contrato CO1.PCCNTR. 7294133</t>
  </si>
  <si>
    <t>Certificado de cumplimiento Pago No. 01 contrato CO1.PCCNTR. 7425052</t>
  </si>
  <si>
    <t>ARIAS PARADA NICOLE NATALIA</t>
  </si>
  <si>
    <t>Solicitud trámite de pago certificado de cumplimiento Pago No.001 contrato CO1.PCCNTR.7539470</t>
  </si>
  <si>
    <t>CHAVARRO BARRERA LUIS MIGUEL</t>
  </si>
  <si>
    <t>JUAN CARLOS APONTE GUTIERREZ</t>
  </si>
  <si>
    <t>Solicitud trámite de pago certificado de cumplimiento Pago No. 2 contrato CO1.PCCNTR.7239664 Juan Caceres Febrero</t>
  </si>
  <si>
    <t>Solicitud trámite de pago certificado de cumplimiento Pago No. 2 contrato CO1.PCCNTR. CO1.PCCNTR.7238309</t>
  </si>
  <si>
    <t>Solicitud trámite de pago certificado de cumplimiento Pago No. 1 contrato CO1.PCCNTR.7421816 Johana Galindo Febrero</t>
  </si>
  <si>
    <t>GALINDO QUINTERO LEIDY JOHANA</t>
  </si>
  <si>
    <t>Solicitud trámite de pago certificado de cumplimiento Pago No. 01 contrato CO1.PCCNTR.7374441 Daniela Uribe Febrero</t>
  </si>
  <si>
    <t>URIBE VELEZ DANIELA</t>
  </si>
  <si>
    <t>Solicitud trámite de pago certificado de cumplimiento Pago No. 2 contrato PCCNTR.7305544 Diego Peñaranda</t>
  </si>
  <si>
    <t>Solicitud trámite de pago certificado de cumplimiento Pago No. 2 contrato No. CO1.PCCNTR.7322955 Maria Corredor Febrero</t>
  </si>
  <si>
    <t>Solicitud trámite de pago - certificado de cumplimiento Pago No. 002 contrato CO1.PCCNTR.7211982</t>
  </si>
  <si>
    <t>RUBÉN DARÍO GALLEGO GONZÁLEZ</t>
  </si>
  <si>
    <t>Solicitud trámite de pago certificado de cumplimiento Pago No. 02 contrato CO1.PCCNTR.7212724</t>
  </si>
  <si>
    <t>Solicitud trámite de pago certificado de cumplimiento Pago No. 1 contrato CO1.PCCNTR. 7411105</t>
  </si>
  <si>
    <t>GOMEZ BUITRAGO DANIEL RICARDO</t>
  </si>
  <si>
    <t>[F] Certificado de Cumplimiento del Pago No. 1 CO1.PCCNTR.7344442 DAVID FERNANDO ROMERO QUETE.</t>
  </si>
  <si>
    <t>ROMERO QUETE DAVID FERNANDO</t>
  </si>
  <si>
    <t>Solicitud trámite de pago - Certificado de cumplimiento Pago No. 1 - Contrato CO1.PCCNTR.7389492 - ALEJANDRA PATRICIA GIL PEREZ</t>
  </si>
  <si>
    <t>GIL PÉREZ ALEJANDRA PATRICIA</t>
  </si>
  <si>
    <t>Solicitud trámite de pago certificado de cumplimiento Pago No. 01 contrato CO1.PCCNTR.7518134 - SONIA PATRICIA ANGEL HUERTAS</t>
  </si>
  <si>
    <t>ANGEL HUERTAS SONIA PATRICIA</t>
  </si>
  <si>
    <t>Certificado de cumplimiento</t>
  </si>
  <si>
    <t>Solicitud trámite de pago certificado de cumplimiento Pago No. 02 contrato CO1.PCCNTR.7299247- CATALINA LONDOñO PALACINO</t>
  </si>
  <si>
    <t>Solicitud trámite de pago certificado de cumplimiento Pago No. 01 contrato CO1.PCCNTR.7375238 - ANDRES FELIPE DUARTE RODRIGUEZ</t>
  </si>
  <si>
    <t>DUARTE RODRIGUEZ ANDRES FELIPE</t>
  </si>
  <si>
    <t>65754625-65754925</t>
  </si>
  <si>
    <t>Solicitud trámite de pago certificado de cumplimiento Pago No. 01 contrato CO1.PCCNTR.7463335 - JUAN DAVID PALACIOS SUAREZ</t>
  </si>
  <si>
    <t>PALACIOS SUAREZ JUAN DAVID</t>
  </si>
  <si>
    <t>Solicitud trámite de pago certificado de cumplimiento Pago No. 01 contrato CO1.PCCNTR.7448734 - MONICA CRISTINA CASTAñEDA</t>
  </si>
  <si>
    <t>CASTAÑEDA LASSO MONICA CRISTINA</t>
  </si>
  <si>
    <t>[F] Certificado de Cumplimiento del Pago No. 1 CO1.PCCNTR.7367645 ISABEL SIERRA URIBE.</t>
  </si>
  <si>
    <t>SIERRA URIBE ISABEL</t>
  </si>
  <si>
    <t>Solicitud trámite de pago certificado de cumplimiento Pago No. 01 contrato CO1.PCCNTR.7448769 - CLAUDIA PATRICIA CHAVES VIVAS</t>
  </si>
  <si>
    <t>CHAVES VIVAS CLAUDIA PATRICIA</t>
  </si>
  <si>
    <t>Solicitud trámite de pago certificado de cumplimiento Pago No. 01 contrato CO1.PCCNTR.7484772 - MARIA FERNANDA BECERRA CANO</t>
  </si>
  <si>
    <t>BECERRA CANO MARIA FERNANDA</t>
  </si>
  <si>
    <t>Certificado de cumplimiento Pago No. 01 contrato CO1.PCCNTR. 7353918</t>
  </si>
  <si>
    <t>2025114140100154E</t>
  </si>
  <si>
    <t>MUÑOZ ROCHA DIANA PAOLA</t>
  </si>
  <si>
    <t>Solicitud trámite de pago certificado de cumplimiento Pago No. 01 contrato CO1.PCCNTR.7486804 - Manuel Santiago Sierra Ochoa</t>
  </si>
  <si>
    <t>SIERRA OCHOA MANUEL SANTIAGO</t>
  </si>
  <si>
    <t>[I] Certificado de Cumplimiento del Pago No. 1 CO1.PCCNTR.7425199 DANIEL DE JESÚS RESTREPO SOTO.</t>
  </si>
  <si>
    <t>RESTREPO SOTO DANIEL DE JESUS</t>
  </si>
  <si>
    <t>JAIME FERNANDO ANDRADE</t>
  </si>
  <si>
    <t>Solicitud trámite de pago certificado de cumplimiento Pago No. 01 contrato CO1.PCCNTR.7549475</t>
  </si>
  <si>
    <t>PEÑA MENESES JOSE DANIEL</t>
  </si>
  <si>
    <t>Solicitud trámite de pago certificado de cumplimiento Pago No. 2 contrato No.CO1.PCCNTR.7317033 Laura Berrio febrero</t>
  </si>
  <si>
    <t>Solicitud trámite de pago certificado de cumplimiento Pago No. 02 contrato CO1.PCCNTR.7210854 Carolina Bastidas Febrero</t>
  </si>
  <si>
    <t>70171225-70173425</t>
  </si>
  <si>
    <t>[F] Certificado de Cumplimiento del Pago No. 1 CO1.PCCNTR.7478877 JENNY LORENA IBARGUEN VALVERDE</t>
  </si>
  <si>
    <t>IBARGUEN VALVERDE JENNY LORENA</t>
  </si>
  <si>
    <t>Solicitud trámite de pago certificado de cumplimiento Pago No. 1 contrato No. CO1.PCCNTR.7362555 Natalia Vargas Febrero</t>
  </si>
  <si>
    <t>VARGAS TAPIERO NARGHY NATALIA</t>
  </si>
  <si>
    <t>Solicitud trámite de pago certificado de cumplimiento Pago No. 2 contrato CO1.PCCNTR. 7314969 David Cespedes Febrero</t>
  </si>
  <si>
    <t>Solicitud trámite de pago certificado de cumplimiento Pago No. 1 contrato No. CO1.PCCNTR.7463637 David Guevara Febrero</t>
  </si>
  <si>
    <t>GUEVARA MONTAÑA DAVID FERNANDO</t>
  </si>
  <si>
    <t>Solicitud trámite de pago certificado de cumplimiento Pago No. 1 contrato CO1.PCCNTR.7362568 Wilson Hurtado Febrero</t>
  </si>
  <si>
    <t>HURTADO MENDOZA WILSON JOSE</t>
  </si>
  <si>
    <t>Solicitud trámite de pago certificado de cumplimiento Pago No. 01 contrato CO1.PCCNTR.7411853 – Francisco de Paula Toro Zea.</t>
  </si>
  <si>
    <t>TORO ZEA FRANCISCO DE PAULA</t>
  </si>
  <si>
    <t>certificado de cumplimiento No 2 CO1.PCCNTR.7214050</t>
  </si>
  <si>
    <t>HOLMAN FERNANDO CORREDOR PEREZ</t>
  </si>
  <si>
    <t>Solicitud trámite de pago - Certificado de cumplimiento Pago No. 01 - Contrato CO1.PCCNTR.7337347 – Luis Alejandro Rodríguez</t>
  </si>
  <si>
    <t>2025114140100137E</t>
  </si>
  <si>
    <t>RODRIGUEZ GONZALEZ LUIS ALEJANDRO</t>
  </si>
  <si>
    <t>Solicitud trámite de pago certificado de cumplimiento Pago No. 02 contrato CO1.PCCNTR.7235879 -JUAN DAVID ARBELAEZ GALVEZ.</t>
  </si>
  <si>
    <t>Solicitud trámite de pago certificado de cumplimiento Pago No. 1 contrato CO1.PCCNTR.7348886 Jeyson Ortega Febrero</t>
  </si>
  <si>
    <t>ORTEGA SANTOFIMIO JEYSON GIOVANNY</t>
  </si>
  <si>
    <t>Solicitud trámite de pago - Certificado de cumplimiento Pago No. 2 - Contrato CO1.PCCNTR.7238976 - JORGE MARIO GUEVARA GONZÁLEZ</t>
  </si>
  <si>
    <t>Solicitud trámite de pago certificado de cumplimiento Pago No.6 CO1.PCCNTR.6572443</t>
  </si>
  <si>
    <t>2024114140000341E</t>
  </si>
  <si>
    <t>LENKOR SEGURIDAD LTDA</t>
  </si>
  <si>
    <t>Solicitud trámite de pago certificado de cumplimiento Pago No. 1 contrato CO1.PCCNTR.7344401.</t>
  </si>
  <si>
    <t>RODRIGUEZ REYES CRISTIAN DAVID</t>
  </si>
  <si>
    <t>Envío certificado de cumplimiento</t>
  </si>
  <si>
    <t>SALGADO SALGUERO BLANCA DEL PILAR</t>
  </si>
  <si>
    <t>MAURICIO VELANDIA GOMEZ</t>
  </si>
  <si>
    <t>Solicitud trámite de pago certificado de cumplimiento Pago No.6 ORDEN DE COMPRA 132180</t>
  </si>
  <si>
    <t>2024114340100356E</t>
  </si>
  <si>
    <t>SERVIASEO S A</t>
  </si>
  <si>
    <t>Solicitud trámite de pago certificado de cumplimiento Pago No.2 CO1.PCCNTR.7126910</t>
  </si>
  <si>
    <t>2024114140000440E</t>
  </si>
  <si>
    <t>FESTIVAL TOURS S.A.S</t>
  </si>
  <si>
    <t>Solicitud trámite de pago certificado de cumplimiento Pago No. 3 contrato CO1.PCCNTR.7126910</t>
  </si>
  <si>
    <t>Solicitud trámite de pago certificado de cumplimiento Pago No. 02 contrato CO1.PCCNTR. 7218834 Aura Bermudez</t>
  </si>
  <si>
    <t>Alcance Memorando 20251100017923. Solicitud trámite de pago - certificado de cumplimiento Pago No. 002 contrato CO1.PCCNTR. 7243623</t>
  </si>
  <si>
    <t>SALAZAR ROCHA ANDREA LUCIA</t>
  </si>
  <si>
    <t>Solicitud trámite de pago certificado de cumplimiento Pago No. 01 contrato CO1.PCCNTR.7428845 -JANNLUCK CANOSA CANTOR</t>
  </si>
  <si>
    <t>CANOSA CANTOR JANNLUCK</t>
  </si>
  <si>
    <t>Solicitud trámite de pago certificado de cumplimiento Pago No. 02 contrato CO1.PCCNTR.7315420 -ADRIANA DURÁN CENTENO</t>
  </si>
  <si>
    <t>Solicitud trámite de pago certificado de cumplimiento Pago No. 02 contrato CO1.PCCNTR.7306619</t>
  </si>
  <si>
    <t>Por medio de la presente me permito radicar el Certificado de cumplimiento del Pago No. 01 del contrato CO1.PCCNTR. 7416085 a nombre de FABIAN GARZON GARCIA, con cuenta de cobro e informe radicado No. 20251110059782 y Expediente ARGO No. 2025114140100205</t>
  </si>
  <si>
    <t>GARZON GARCIA FABIAN</t>
  </si>
  <si>
    <t>Solicitud trámite de pago certificado de cumplimiento Pago No.14, contrato CO1.PCCNTR.5733874.</t>
  </si>
  <si>
    <t>202411400037E</t>
  </si>
  <si>
    <t>Certificado de cumplimiento Pago No. 01 contrato CO1.PCCNTR. 7364800</t>
  </si>
  <si>
    <t>EDWIN GABRIEL RODRÍGUEZ TORRES</t>
  </si>
  <si>
    <t>Solicitud trámite de pago certificado de cumplimiento Pago No.7, contrato ORDEN DE COMPRA 132180.</t>
  </si>
  <si>
    <t>Certificado cumplimiento pago No.2 - Elkin Rojas</t>
  </si>
  <si>
    <t>Solicitud trámite de pago certificado de cumplimiento Pago No. 02 contrato CO1.PCCNTR. 7210815</t>
  </si>
  <si>
    <t>INGRID VIVIANA GARZON</t>
  </si>
  <si>
    <t>Solicitud trámite de pago certificado de cumplimiento Pago No. 01 contrato CO1.PCCNTR. 7527446</t>
  </si>
  <si>
    <t>CARRANZA MOLINA OLGA LUCIA</t>
  </si>
  <si>
    <t>Certificado de cumplimiento Pago No. 01 contrato CO1.PCCNTR. 7449114</t>
  </si>
  <si>
    <t>2025114140000215E</t>
  </si>
  <si>
    <t>VARGAS FIGUEREDO LUISA FERNANDA</t>
  </si>
  <si>
    <t>Solicitud trámite de pago certificado de cumplimiento Pago No. 01 contrato CO1.PCCNTR. 7268839</t>
  </si>
  <si>
    <t>SALUD OCUPACIONAL SANITAS SAS</t>
  </si>
  <si>
    <t>SOLICITUD DE PAGO 001 - CO1.PCCNTR.7362534 - JHON AVILA</t>
  </si>
  <si>
    <t>AVILA ARIAS JOHN JAIRO</t>
  </si>
  <si>
    <t>Solicitud trámite de pago certificado de cumplimiento Pago No. 014 contrato CO1.PCCNTR. 5735887 Fiduciaria Bancolombia S.A.</t>
  </si>
  <si>
    <t>JOSE MAURICIO GONZALEZ ACOSTA</t>
  </si>
  <si>
    <t>Solicitud trámite de pago certificado de cumplimiento Pago No.15, contrato CO1.PCCNTR.5733874.</t>
  </si>
  <si>
    <t>Solicitud trámite de pago certificado de cumplimiento Pago No. 1 contrato CO1.PCCNTR.7544936 Juan Avila Febrero</t>
  </si>
  <si>
    <t>AVILA SANTAMARIA JUAN ANGEL</t>
  </si>
  <si>
    <t>Certificado de cumplimiento del Pago No. 02 del contrato CO1.PCCNTR. 7322343 a nombre de YULY TATIANA PALACIOS VARGAS</t>
  </si>
  <si>
    <t>Solicitud trámite de pago Certificado de Cumplimiento Pago No. 2 contrato CO1.PCCNTR.7196914 – Andrea Pedroza Molina</t>
  </si>
  <si>
    <t>Solicitud trámite de pago Certificado de Cumplimiento Pago No. 2 contrato CO1.PCCNTR.7207531 – Karina Andrea Gómez Cely</t>
  </si>
  <si>
    <t>Solicitud trámite de pago certificado de cumplimiento Pago No. 002 contrato CO1.PCCNTR. 7209574 - Diana Carolina Armenta Celis</t>
  </si>
  <si>
    <t>Solicitud trámite de pago certificado de cumplimiento Pago No.16, contrato CO1.PCCNTR.5733874.</t>
  </si>
  <si>
    <t>Pago No. 001 - CO1.PCCNTR.7415776 - JUAN DOMINGUEZ</t>
  </si>
  <si>
    <t>DOMINGUEZ JIMENEZ JUAN ANTONIO</t>
  </si>
  <si>
    <t>Solicitud trámite de pago certificado de cumplimiento Pago No.01 contrato CO1.PCCNTR.7393666. Sebastián José Martínez Petro.</t>
  </si>
  <si>
    <t>MARTINEZ PETRO SEBASTIAN JOSE</t>
  </si>
  <si>
    <t>Solicitud trámite de pago certificado de cumplimiento Pago No. 02 contrato CO1.PCCNTR.7236551</t>
  </si>
  <si>
    <t>Solicitud trámite de pago certificado de cumplimiento Pago No. 01 contrato CO1.PCCNTR.7528137 - JHON EDISON ENRÍQUEZ OCHOA.</t>
  </si>
  <si>
    <t>ENRIQUEZ OCHOA JHON EDISON</t>
  </si>
  <si>
    <t>abril</t>
  </si>
  <si>
    <t>Solicitud trámite de pago certificado de cumplimiento Pago No.12, contrato CO1.PCCNTR.5896494.</t>
  </si>
  <si>
    <t>2024114140000138E</t>
  </si>
  <si>
    <t>ALAS DE COLOMBIA EXPRESS SAS</t>
  </si>
  <si>
    <t>Cuarto pago ETB Internet Supervisor Alexander Perez CO1.PCCNTR.6960533</t>
  </si>
  <si>
    <t>EMPRESA DE TELECOMUNICACIONES DE BOGOTA SA ESP PUDIENDO IDENTIFICARSE PARA TODOS LOS EFECTOS CON LA SIGLA ETB S.A. E.S.P.</t>
  </si>
  <si>
    <t>Solicitud trámite de pago certificado de cumplimiento Pago No. 2 contrato CO1.PCCNTR.7402312 MARIA JOSE PATIÑO GUTIERREZ</t>
  </si>
  <si>
    <t>SOLICITUD DE PAGO 003 - ARUCI - CO1.PCCNTR.7253311</t>
  </si>
  <si>
    <t>CUENTA COBRO 002 - NICOLAS MUÑEZ - CO1.PCCNTR.7347456</t>
  </si>
  <si>
    <t>Solicitud trámite de pago certificado de cumplimiento Pago No. 02 contrato CO1.PCCNTR.7419968</t>
  </si>
  <si>
    <t>Solicitud trámite de pago certificado de cumplimiento Pago No.3 contrato CO1.PCCNTR.7231698 del profesional Jovana Negrete Flores.</t>
  </si>
  <si>
    <t>Solicitud trámite de pago certificado de cumplimiento Pago No. 03 contrato CO1.PCCNTR.7211854 de la profesional Angie Carolina Piñeros Guzmán</t>
  </si>
  <si>
    <t>Solicitud trámite de pago certificado de cumplimiento Pago No. 02 contrato CO1.PCCNT.7554825 del profesional Harol Andrey Ávila Chocontá</t>
  </si>
  <si>
    <t>Solicitud trámite de pago certificado de cumplimiento Pago No.3 contrato CO1.PCCNTR.7254981 Karen Tatiana Girón</t>
  </si>
  <si>
    <t>Remisión certificado de cumplimiento</t>
  </si>
  <si>
    <t>97791325-110328225</t>
  </si>
  <si>
    <t>Solicitud trámite de pago certificado de cumplimiento Pago No. 02 contrato CO1.PCCNTR.7474011. Sofía Sánchez Granados.</t>
  </si>
  <si>
    <t>F-Solicitud trámite de pago certificado de cumplimiento Pago No. 3 contrato CO1.PCCNTR.7208871 Adriana Katherine Munar Aponte</t>
  </si>
  <si>
    <t>Solicitud trámite de pago certificado de cumplimiento Pago No. 02 contrato CO1.PCCNTR.7377021</t>
  </si>
  <si>
    <t>Solicitud trámite de pago certificado de cumplimiento Pago No. 003 contrato CO1.PCCNTR.7311815</t>
  </si>
  <si>
    <t>Solicitud trámite de pago certificado de cumplimiento Pago No. 03 contrato CO1.PCCNTR.7262212 Gerardo Tejedor Pérez</t>
  </si>
  <si>
    <t>SOLICITUD TRÁMITE DE PAGO - CERTIFICADO DE CUMPLIMIENTO PAGO NO. 02 CONTRATO CO1.PCCNTR.756919 LUIS GIOVANNY PEÑA SOLANO</t>
  </si>
  <si>
    <t>Solicitud trámite de pago certificado de cumplimiento Pago No. 03 contrato CO1.PCCNTR.7263732 Kevin Enrique Ramos Hernández</t>
  </si>
  <si>
    <t>Solicitud trámite de pago certificado de cumplimiento Pago No.002 contrato CO1.PCCNTR.7367128 FELIPE RODRÍGUEZ TUTA</t>
  </si>
  <si>
    <t>certificado de cumplimiento Pago No. 03 contrato CO1.PCCNTR. 7268541</t>
  </si>
  <si>
    <t>Solicitud trámite de pago certificado de cumplimiento Pago No. 03 contrato CO1.PCCNTR.7217580</t>
  </si>
  <si>
    <t>Solicitud trámite de pago certificado de cumplimiento Pago No. 03 contrato CO1.PCCNTR.7245575</t>
  </si>
  <si>
    <t>Solicitud trámite de pago certificado de cumplimiento Pago No. 03 contrato CO1.PCCNTR.7314668</t>
  </si>
  <si>
    <t>Certificado de cumplimiento Pago No. 02 contrato CO1.PCCNTR. 7425052</t>
  </si>
  <si>
    <t>Certificado de cumplimiento Pago No. 02 contrato CO1.PCCNTR. 7356828</t>
  </si>
  <si>
    <t>Solicitud trámite de pago certificado de cumplimiento Pago No. 003 contrato CO1.PCCNTR. 7208227 - Juan David Beltrán</t>
  </si>
  <si>
    <t>Solicitud trámite de pago certificado de cumplimiento Pago No. 2 contrato CO1.PCCNTR.7363896</t>
  </si>
  <si>
    <t>Solicitud trámite de pago certificado de cumplimiento Pago No. 3 Orden de compra No 140719 DISTRACOM S.A</t>
  </si>
  <si>
    <t>Solicitud trámite de pago certificado de cumplimiento Pago No. 003 contrato CO1.PCCNTR.7230550</t>
  </si>
  <si>
    <t>Solicitud trámite de pago certificado de cumplimiento. Pago No. 02 Contrato CO1.PCCNTR.7420515.</t>
  </si>
  <si>
    <t>MARTHA PATRICIA SARRIA TORO</t>
  </si>
  <si>
    <t>Solicitud trámite de pago certificado de cumplimiento Pago No. 003 contrato CO1.PCCNTR.7213727</t>
  </si>
  <si>
    <t>Solicitud trámite de pago certificado de cumplimiento Pago No.003 contrato CO1.PCCNTR.7238053 Brandon Stid Huaca Cuellar.</t>
  </si>
  <si>
    <t>Solicitud trámite de pago- certificado de cumplimiento. Pago No. 003. Contrato CO1.PCCNT.7208702- MARÍA CAMILA HERRERA CHARRY.</t>
  </si>
  <si>
    <t>ANGELA MARCELA LOBO BELTRAN</t>
  </si>
  <si>
    <t>Solicitud trámite de pago certificado de cumplimiento Pago No. 02. Contrato CO1.PCCNTR.7411853 – Francisco de Paula Toro Zea</t>
  </si>
  <si>
    <t>Solicitud trámite de pago certificado de cumplimiento Pago No. 3 Contrato CO1.PCCNTR.7215006</t>
  </si>
  <si>
    <t>Trámite de pago certificado de cumplimiento Pago No.2 contrato CO1.PCCNTR.7423828 Nasly Mabel López</t>
  </si>
  <si>
    <t>Solicitud trámite de pago certificado de cumplimiento Pago No. 3 contrato CO1.PCCNTR.7213082</t>
  </si>
  <si>
    <t>Solicitud trámite de pago certificado de cumplimiento. Pago No. 02 Contrato CO1.PCCNTR.7411325. Cristian Fonseca</t>
  </si>
  <si>
    <t>Solicitud trámite de pago certificado de cumplimiento Pago No. 01 contrato CO1.PCCNTR.7598237 - Sandra Milena Sánchez Mendoza</t>
  </si>
  <si>
    <t>Solicitud trámite de pago certificado de cumplimiento Pago No. 3 contrato CO1.PCCNTR. 7328226</t>
  </si>
  <si>
    <t>Solicitud trámite de pago certificado de cumplimiento Pago No. 03 contrato CO1.PCCNTR.7238896</t>
  </si>
  <si>
    <t>Certificado de cumplimiento del Pago No. 3 del contrato CO1.PCCNTR.7263041 a nombre de CESAR HERNAN SOTELO SANCHEZ.</t>
  </si>
  <si>
    <t>Solicitud trámite de pago certificado de cumplimiento Pago No. 03 contrato CO1.PCCNTR.7238540 del profesional Carlos Darío Cristiano Botia</t>
  </si>
  <si>
    <t>Solicitud trámite de pago - Certificado de cumplimiento Pago No. 3 - Contrato CO1.PCCNTR.7218727 PAOLA ANDREA TORRES CHACON</t>
  </si>
  <si>
    <t>Solicitud trámite de pago - Certificado de cumplimiento Pago No. 3 - Contrato CO1.PCCNTR.7238976 JORGE MARIO GUEVARA GONZÁLEZ</t>
  </si>
  <si>
    <t>Solicitud trámite de pago certificado de cumplimiento Pago No. 3 contrato CO1.PCCNTR.7255926.</t>
  </si>
  <si>
    <t>Corredor Calderón Felipe Humberto</t>
  </si>
  <si>
    <t>[F] Certificado de Cumplimiento del Pago No. 3 CO1.PCCNTR.7209522 BRAYAN JAVIER BAUTISTA PENAGOS</t>
  </si>
  <si>
    <t>Solicitud trámite de pago certificado de cumplimiento Pago No. 2 contrato CO1.PCCNTR.7462945</t>
  </si>
  <si>
    <t>Solicitud trámite de pago certificado de cumplimiento Pago No. 3 contrato CO1.PCCNTR.7328240</t>
  </si>
  <si>
    <t>Solicitud de pago No.2 contrato CO1.PCCNTR.7343482. FREDY GOMEZ</t>
  </si>
  <si>
    <t>Solicitud trámite de pago certificado de cumplimiento Pago No. 3 contrato CO1.PCCNTR.7239664 Juan Caceres Marzo</t>
  </si>
  <si>
    <t>Solicitud trámite de pago certificado de cumplimiento Pago No. 03 contrato CO1.PCCNTR.7307572 Juan Camilo Sanchez Marzo</t>
  </si>
  <si>
    <t>Solicitud trámite de pago certificado de cumplimiento Pago No. 03 contrato CO1.PCCNTR.7245598 Maria Camila Mejia Marzo</t>
  </si>
  <si>
    <t>Solicitud trámite de pago certificado de cumplimiento Pago No. 3 contrato No CO1.PCCNTR.7216895 Magnery Edith Vargas Morales</t>
  </si>
  <si>
    <t>GENY ESPERANZA PALACIOS PENAGOS</t>
  </si>
  <si>
    <t>Solicitud trámite de pago certificado de cumplimiento Pago No. 2 Contrato CO1.PCCNTR.7396905 JESSICA MURCIA</t>
  </si>
  <si>
    <t>Solicitud trámite de pago certificado de cumplimiento Pago No. 03 contrato CO1.PCCNTR.7215046 de 2025. David Leonardo Peña González.</t>
  </si>
  <si>
    <t>Solicitud trámite de pago - Certificado de cumplimiento Pago 03 - Contrato CO1.PCCNTR. 7215061 – Alexandra Cortes</t>
  </si>
  <si>
    <t>[F] Certificado de Cumplimiento del Pago No. 2 CO1.PCCNTR.7459870 CINDY JULIETH MONTAÑEZ GUILLEN</t>
  </si>
  <si>
    <t>[F] Certificado de Cumplimiento del Pago No. 2 CO1.PCCNTR.7368867 JAVIER EDUARDO CHACON SUAREZ</t>
  </si>
  <si>
    <t>Certificado de cumplimiento Pago No. 03 contrato CO1.PCCNTR. 7316296</t>
  </si>
  <si>
    <t>Solicitud trámite de pago - Certificado de cumplimiento Pago No. 2 - Contrato CO1.PCCNTR.7410256</t>
  </si>
  <si>
    <t>NATALIA ANDREA TOVAR JAIMES</t>
  </si>
  <si>
    <t>Solicitud trámite de pago certificado de cumplimiento Pago No. 02 contrato CO1.PCCNTR. 7348425 Olga Rojas</t>
  </si>
  <si>
    <t>Pago No. 002 - CO1.PCCNTR.7415776 - Juan Dominguez</t>
  </si>
  <si>
    <t>Solicitud trámite de pago certificado de cumplimiento Pago No. 02 contrato CO1.PCCNTR. 7340328 Julieth García</t>
  </si>
  <si>
    <t>Solicitud trámite de pago certificado de cumplimiento Pago No 2 contrato CO1.PCCNTR.7394519 a nombre de Alejandra Sandoval</t>
  </si>
  <si>
    <t>Solicitud trámite de pago certificado de cumplimiento Pago No. 03 contrato CO1.PCCNTR.7333126 - NICOLAS FERNANDO BELTRAN ALEMAN.</t>
  </si>
  <si>
    <t>20251900021763 / 20251900024183</t>
  </si>
  <si>
    <t>Solicitud trámite de pago certificado de cumplimiento Pago No. 02 contrato CO1.PCCNTR.7401123</t>
  </si>
  <si>
    <t>Solicitud trámite de pago certificado de cumplimiento Pago No. 2 contrato CO1.PCCNTR. 7339270</t>
  </si>
  <si>
    <t>Solicitud Pago No. 3 contrato CO1.PCCNTR.7256686 Kelly Toro</t>
  </si>
  <si>
    <t>Solicitud trámite de pago certificado de cumplimiento Pago No. 2 Contrato CO1.PCCNTR.7393821 ANGIE ANDREA MONTOYA GONZALEZ</t>
  </si>
  <si>
    <t>CERTIFICADO DE CUMPLIMIENTO ASDRUBAL GONZALEZ PAGO 3</t>
  </si>
  <si>
    <t>Solicitud trámite de pago - Certificado de cumplimiento Pago No. 3 Contrato CO1.PCCNTR.7250418</t>
  </si>
  <si>
    <t>DANNY KATHERINE SIERRA</t>
  </si>
  <si>
    <t>Solicitud trámite de pago certificado de cumplimiento Pago No. 2 contrato CO1.PCCNTR. 7341034</t>
  </si>
  <si>
    <t>SOLICITUD TRÁMITE DE PAGO CERTIFICADO DE CUMPLIMIENTO PAGO NO. 03 CONTRATO CO1.PCCNTR.7324781 JULIÁN ESTEBAN SANTAMARIA ARAGÓN</t>
  </si>
  <si>
    <t>Solicitud Pago No. 002 - CO1.PCCNTR.7401119 - ALEJANDRO RODRIGUEZ</t>
  </si>
  <si>
    <t>Solicitud Pago No.2 contrato CO1.PCCNTR.7343412. William Villamil</t>
  </si>
  <si>
    <t>CERTIFICADO DE CUMPLIMIENTO YEIMY BUITRAGO PAGO 3</t>
  </si>
  <si>
    <t>Solicitud trámite de pago certificado de cumplimiento Pago No. 3 contrato CO1.PCCNTR.7270418 Gildardo Andres Vargas Acuña</t>
  </si>
  <si>
    <t>[I] Certificado de Cumplimiento del Pago No. 3 CO1.PCCNTR.7236878 VERONICA ORTIZ CERON</t>
  </si>
  <si>
    <t>[I] Certificado de Cumplimiento del Pago No. 3 CO1.PCCNTR.7236808 ERIKA JOHANNA FLÓREZ CHALA</t>
  </si>
  <si>
    <t>[I] Certificado de Cumplimiento del Pago No. 2 CO1.PCCNTR.7335693 ELKIN EDUARDO RAMÍREZ PRIETO</t>
  </si>
  <si>
    <t>[I] Certificado de Cumplimiento del Pago No. 3 CO1.PCCNTR.7237610 BOLIVAR ANDRES MONROY MATALLANA</t>
  </si>
  <si>
    <t>[F] Certificado de Cumplimiento del Pago No. 3 CO1.PCCNTR.7299749 MIGUEL VIVEROS MIRA</t>
  </si>
  <si>
    <t>SOLICITUD TRÁMITE DE PAGO CERTIFICADO DE CUMPLIMIENTO PAGO NO. 03 CONTRATO CO1.PCCNTR.7323805 JUAN PABLO CIFUENTES NIÑO</t>
  </si>
  <si>
    <t>Certificado de cumplimiento Pago No. 03 contrato CO1.PCCNTR. 7333105</t>
  </si>
  <si>
    <t>Solicitud Pago No.2 contrato CO1.PCCNTR.7411663. Cristhian González</t>
  </si>
  <si>
    <t>Certificado de cumplimiento cuenta No. 2, marzo, Katherine Rodríguez, clausulado CO1.PCCNTR.7340461</t>
  </si>
  <si>
    <t>Solicitud Pago No.2 contrato CO1.PCCNTR.7343405. Sonia Echeverria</t>
  </si>
  <si>
    <t>Solicitud Pago No.2 contrato CO1.PCCNTR.7343441. Brajham David Chitiva</t>
  </si>
  <si>
    <t>Solicitud Pago No.2 contrato CO1.PCCNTR.7421118. Juan Alvarado</t>
  </si>
  <si>
    <t>SOLICITUD TRÁMITE DE PAGO CERTIFICADO DE CUMPLIMIENTO PAGO NO. 02 CONTRATO CO1.PCCNTR.7528061 CAMILO ENRIQUE ACHURY RODRIGUEZ</t>
  </si>
  <si>
    <t>Solicitud trámite de pago certificado de cumplimiento Pago No. 02 contrato CO1.PCCNTR.7403891</t>
  </si>
  <si>
    <t>Solicitud trámite de pago certificado de cumplimiento Pago No. 03 contrato CO1.PCCNTR.7236456 Paola Andrea García Rueda</t>
  </si>
  <si>
    <t>KATHERIN YANIRE PEREZ PULECIO</t>
  </si>
  <si>
    <t>Solicitud trámite de pago certificado de cumplimiento Pago No. 03 contrato CO1.PCCNTR.7242992 a nombre de Edgar Saúl Vargas Soto</t>
  </si>
  <si>
    <t>Solicitud trámite de pago certificado de cumplimiento Pago No. 003 Contrato CO1.PCCNTR. 7204712 a nombre de MILENA HERRERA DE LA HOZ</t>
  </si>
  <si>
    <t>Solicitud Pago No. 002 - Contrato CO1.PCCNTR.7362534 - JOHN AVILA</t>
  </si>
  <si>
    <t>Solicitud trámite de pago certificado de cumplimiento Pago No. 03 contrato No. CO1.PCCNTR.7233044 a nombre de CRISTIAN ELIECER BEDOYA GONZALEZ</t>
  </si>
  <si>
    <t>Solicitud trámite de pago certificado de cumplimiento Pago No. 02 contrato No CO1.PCCNTR.7504677 de BIBIANA CALDERON SIERRA</t>
  </si>
  <si>
    <t>Solicitud trámite de pago certificado de cumplimiento Pago No. 003 contrato CO1.PCCNTR.7207531 Karina Andrea Gómez Cely</t>
  </si>
  <si>
    <t>Solicitud trámite de pago certificado de cumplimiento Pago No.003 contrato CO1.PCCNTR.7212893 Diana Marcela Páramo Montoya.</t>
  </si>
  <si>
    <t>Solicitud trámite de pago certificado de cumplimiento Pago No. 3 contrato CO1.PCCNTR.7240157 a nombre de Nubia Estupiñan</t>
  </si>
  <si>
    <t>John Francisco Sanchez Antia</t>
  </si>
  <si>
    <t>Certificado de cumplimiento del Pago No. 03 del contrato CO1.PCCNTR.7259306 a nombre de OLGA ESTELLA RAMÍREZ YAIMA</t>
  </si>
  <si>
    <t>Solicitud trámite de pago certificado de cumplimiento Pago No 3 contrato CO1.PCCNTR. 7297643 ARCHIVOS DEL ESTADO Y TECNOLOGÍAS DE LA INFORMACIÓN S.A.S</t>
  </si>
  <si>
    <t>Solicitud trámite de pago certificado de cumplimiento Pago No. 2 Contrato CO1.PCCNTR.7351217 JORGE ESTEBAN CASTRO GUALDRON</t>
  </si>
  <si>
    <t>CERTIFICADO DE CUMPLIMIENTO DEL PAGO NO. 2 - CO1.PCCNTR.7403833 JOSE ANTONIO BARAJAS VILLAREAL</t>
  </si>
  <si>
    <t>Solicitud trámite de pago certificado de cumplimiento Pago No. 03 contrato CO1.PCCNTR. 7218834 Aura Bermúdez</t>
  </si>
  <si>
    <t>Solicitud trámite de pago certificado de cumplimiento Pago No. 02. Contrato CO1.PCCNTR.7421801 - David Andrés Sánchez Torres</t>
  </si>
  <si>
    <t>Solicitud trámite de pago certificado de cumplimiento Pago No. 3 contrato No.CO1.PCCNTR.7317033 Laura Berrio Florez marzo</t>
  </si>
  <si>
    <t>[F] Certificado de Cumplimiento del Pago No. 3 CO1.PCCNTR.7212702 ADRIAN CAMILO CORTES VILLADA</t>
  </si>
  <si>
    <t>[F] Certificado de Cumplimiento del Pago No. 2 CO1.PCCNTR.7451843 EMMANUEL JOSE MANZANO VERJEL</t>
  </si>
  <si>
    <t>[F] Certificado de Cumplimiento del Pago No. 2 CO1.PCCNTR.7482219 LADY CAROLINA GIRALDO BELLO</t>
  </si>
  <si>
    <t>[F] Certificado de Cumplimiento del Pago No. 2 CO1.PCCNTR.7366311 NICOLAS AUGUSTO MARIN PINZON</t>
  </si>
  <si>
    <t>Solicitud trámite de pago certificado de cumplimiento Pago No. 02 contrato CO1.PCCNTR.7377761 Leidy Vera Marzo</t>
  </si>
  <si>
    <t>Solicitud trámite de pago certificado de cumplimiento Pago No. 3 contrato CO1.PCCNTR.7310313</t>
  </si>
  <si>
    <t>Solicitud trámite de pago certificado de cumplimiento Pago No. 003 contrato No. CO1.PCCNTR.7203693</t>
  </si>
  <si>
    <t>Solicitud trámite de pago certificado de cumplimiento Pago No. 03 contrato CO1.PCCNTR.7245713 – NASHLA NAYELI GONZÁLEZ CLEVES</t>
  </si>
  <si>
    <t>Certificado de cumplimiento para el pago No. 2 del contrato CO1.PCCNTR.7431674 suscrito con Carlos Salomón Sáenz Díaz</t>
  </si>
  <si>
    <t>Solicitud trámite de pago - Certificado de cumplimiento Pago No. 3 - Contrato CO1.PCCNTR. 7315420 Adriana Durán Centeno</t>
  </si>
  <si>
    <t>Solicitud trámite de pago certificado de cumplimiento Pago No. 03 contrato CO1.PCCNTR. 7213573 - Andrea Gutierrez</t>
  </si>
  <si>
    <t>Solicitud trámite de pago - Certificado de cumplimiento Pago No. 4 - Contrato CO1.PCCNTR. 7315420 cedido a Fernando Amaya</t>
  </si>
  <si>
    <t>AMAYA BRICEÑO FERNANDO ENRIQUE</t>
  </si>
  <si>
    <t>Certificado de Cumplimiento del Pago No. 2 - CO1.PCCNTR.7365324 CARLOS ALBERTO MOLINA BERMUDEZ</t>
  </si>
  <si>
    <t>Certificado de Cumplimiento del Pago No. 3 CO1.PCCNTR.7230326 WILLMAN ANDRES RAMIREZ CARRILLO</t>
  </si>
  <si>
    <t>Certificado de Cumplimiento del Pago No. 2 - CO1.PCCNTR.7364386 ALEJANDRA JIMENEZ RODAS</t>
  </si>
  <si>
    <t>Solicitud trámite de pago certificado de cumplimiento Pago No. 03 contrato CO1.PCCNTR.</t>
  </si>
  <si>
    <t>Certificado de Cumplimiento del Pago No. 3 - CO1.PCCNTR.7237232 DAVID ANDRES SERRATO TOBON</t>
  </si>
  <si>
    <t>Solicitud trámite de pago certificado de cumplimiento Pago No. 3 contrato CO1.PCCNTR7292416 Edmna Maritza Real Salinas</t>
  </si>
  <si>
    <t>Solicitud trámite de pago certificado de cumplimiento Pago No. 02 contrato CO1.PCCNTR.7405504</t>
  </si>
  <si>
    <t>Solicitud trámite de pago certificado de cumplimiento Pago No.3 contrato CO1.PCCNTR.7212661 Karen Julieth Rodríguez Barrero.</t>
  </si>
  <si>
    <t>Certificado de Cumplimiento del Pago No. 2 - CO1.PCCNTR.7344401 CRISTIAN DAVID RODRIGUEZ REYES</t>
  </si>
  <si>
    <t>Certificado de Cumplimiento del Pago No. 3 - CO1.PCCNTR.7212348 CATALINA CASTILLO VERDUGO</t>
  </si>
  <si>
    <t>CERTIFICADO DE CUMPLIMIENTO DEL PAGO NO. 2 - CO1.PCCNTR.7351711 LAURA ISABEL GOMEZ TORRES</t>
  </si>
  <si>
    <t>Solicitud trámite de pago certificado de cumplimiento Pago No. 03 contrato CO1.PCCNTR. 7299247 - Catalina Londoño Palacino</t>
  </si>
  <si>
    <t>Solicitud trámite de pago certificado de cumplimiento Pago No. 2 contrato CO1.PCCNTR. 7477901</t>
  </si>
  <si>
    <t>Solicitud trámite de pago certificado de cumplimiento Pago No. 02 contrato CO1.PCCNTR. 7484772</t>
  </si>
  <si>
    <t>Solicitud trámite de pago certificado de cumplimiento Pago No. 02 contrato CO1.PCCNTR. 7518134 - SONIA PATRICIA ANGEL HUERTAS</t>
  </si>
  <si>
    <t>Solicitud trámite de pago certificado de cumplimiento Pago No. 003 Contrato CO1.PCCNTR. 7205218 a nombre de LAURA VALENTINA SANIN MORALES</t>
  </si>
  <si>
    <t>Solicitud trámite de pago - Certificado de cumplimiento Pago No. 2 Contrato CO1.PCCNTR.7389492</t>
  </si>
  <si>
    <t>Solicitud trámite de pago certificado de cumplimiento Pago No.002 contrato CO1.PCCNTR.7412208 ANGIE TATIANA CASTAÑEDA SANCHEZ.</t>
  </si>
  <si>
    <t>Solicitud trámite de pago certificado de cumplimiento Pago No.002 contrato CO1.PCCNTR.7353401 GERSSON IVAN SANCHEZ ALVAREZ.</t>
  </si>
  <si>
    <t>Solicitud trámite de pago certificado de cumplimiento Pago No.003 contrato CO1.PCCNTR.7218018 ADRIÁN GUTIÉRREZ HUERTAS.</t>
  </si>
  <si>
    <t>Solicitud trámite de pago - Certificado de cumplimiento Pago No. 2 Contrato CO1.PCCNTR.7448707</t>
  </si>
  <si>
    <t>Solicitud trámite de pago certificado de cumplimiento Pago No. 01 contrato CO1.PCCNTR. 7652861 - MAYRA ALEJANDRA ALLADO ARGUELLO.</t>
  </si>
  <si>
    <t>ALLADO ARGUELLO MAYRA ALEJANDRA</t>
  </si>
  <si>
    <t>Solicitud trámite de pago certificado de cumplimiento Pago No. 03 contrato CO1.PCCNTR.7210854 Carolina Bastidas Marzo</t>
  </si>
  <si>
    <t>Solicitud trámite de pago certificado de cumplimiento Pago No. 02 contrato CO1.PCCNTR.7374441 Daniela Uribe Marzo</t>
  </si>
  <si>
    <t>Solicitud trámite de pago certificado de cumplimiento Pago No. 3 contrato CO1.PCCNTR. 7294133</t>
  </si>
  <si>
    <t>Solicitud trámite de pago certificado de cumplimiento Pago No 3 Contrato CO1.PCCNTR.7233421 INFOMETRIKA SAS</t>
  </si>
  <si>
    <t>Certificado de Cumplimiento del Pago No. 3 - CO1.PCCNTR.7230359 JUAN JOSE CASTAÑO GUTIERREZ</t>
  </si>
  <si>
    <t>Certificado de Cumplimiento del Pago No. 3 - CO1.PCCNTR.7300256 ANGELA PATRICIA TORRES LUNA</t>
  </si>
  <si>
    <t>Certificado de Cumplimiento del Pago No. 3 - CO1.PCCNTR.7212382 ANDRES STEVEN MORALES RODRÍGUEZ</t>
  </si>
  <si>
    <t>Certificado de Cumplimiento del Pago No. 2 - CO1.PCCNTR.7423185 MARIA XIMENA CACERES PRADO</t>
  </si>
  <si>
    <t>Solicitud trámite de pago - Certificado de cumplimiento Pago No. 3 - Contrato CO1.PCCNTR.7322343</t>
  </si>
  <si>
    <t>Solicitud trámite de pago certificado de cumplimiento Pago No. 2 Contrato CO1.PCCNTR.7539548 JAVIER HERNANDO PAVA SALAMANCA</t>
  </si>
  <si>
    <t>Solicitud trámite de pago certificado de cumplimiento Pago No. 2 contrato CO1.PCCNTR.7411105</t>
  </si>
  <si>
    <t>[F] Certificado de Cumplimiento del Pago No. 2 CO1.PCCNTR.7344442 DAVID FERNANDO ROMERO QUETE</t>
  </si>
  <si>
    <t>[F] Certificado de Cumplimiento del Pago No. 2 CO1.PCCNTR.7397082 JUAN DAVID GONZALEZ ARENAS</t>
  </si>
  <si>
    <t>(F) Certificado de Cumplimiento del Pago No. 3 CO1.PCCNTR.7299167 ALISON XIMENA ROZO CRUZ</t>
  </si>
  <si>
    <t>Certificado de Cumplimiento del Pago No. 2 - CO1.PCCNTR.7478008 ANDREA LACHE MUÑOZ</t>
  </si>
  <si>
    <t>Certificado de Cumplimiento del Pago No. 3- CO1.PCCNTR.7238309 LUIS GABRIEL ZARRATE</t>
  </si>
  <si>
    <t>Solicitud trámite de pago certificado de cumplimiento Pago No. 03 contrato CO1.PCCNTR. 7294342</t>
  </si>
  <si>
    <t>[F] Certificado de Cumplimiento del Pago No. 2 CO1.PCCNTR.7367645 ISABEL SIERRA URIBE.</t>
  </si>
  <si>
    <t>[I] Certificado de Cumplimiento del Pago No. 2 CO1.PCCNTR.7339853 SOFIA DELGADO RAMOS.</t>
  </si>
  <si>
    <t>Solicitud trámite de pago certificado de cumplimiento Pago No. 03 contrato CO1.PCCNTR.7243623</t>
  </si>
  <si>
    <t>Solicitud trámite de pago certificado de cumplimiento Pago No.03 del contrato CO1.PCCNTR.7269456 a nombre de CARLOS ARTURO ACOSTA SANCHEZ</t>
  </si>
  <si>
    <t>Por medio de la presente me permito radicar el Certificado de cumplimiento del Pago No. 02 del contrato CO1.PCCNTR.7549475 a nombre de José Daniel Peña Meneses</t>
  </si>
  <si>
    <t>Solicitud trámite de pago certificado de cumplimiento Pago No. 02 contrato CO1.PCCNTR.7401156 - Jesús Eduardo Sánchez Daza</t>
  </si>
  <si>
    <t>Solicitud trámite de pago certificado de cumplimiento Pago No. 3 contrato CO1.PCCNTR.7309915 a nombre de Rafael Ángelo Luque González</t>
  </si>
  <si>
    <t>Por medio de la presente me permito radicar el Certificado de cumplimiento del Pago No. 01 del contrato CO1.PCCNTR. 7416085 a nombre de FABIAN GARZON GARCIA, con cuenta de cobro e informe radicado No. 20251110080342 y Expediente ARGO No. 2025114140000205E</t>
  </si>
  <si>
    <t>Solicitud trámite de pago certificado de cumplimiento Pago No. 03 contrato CO1.PCCNTR.7312242.</t>
  </si>
  <si>
    <t>Solicitud trámite de pago certificado de cumplimiento Pago No. 4 contrato CO1.PCCNTR.7126910</t>
  </si>
  <si>
    <t>Solicitud trámite de pago certificado de cumplimiento Pago No. 02 - Contrato CO1.PCCNTR.7399826 – LAURA MILENA SIERRA RAMÍREZ</t>
  </si>
  <si>
    <t>SANTIAGO HURTADO RODRIGUEZ</t>
  </si>
  <si>
    <t>Certificado de Cumplimiento del Pago No. 3 - CO1.PCCNTR.7207433 ROBERTO JOSE HERNANDEZ DAZA</t>
  </si>
  <si>
    <t>pago 3 contrato dario santisteban</t>
  </si>
  <si>
    <t>Tercer pago Fernando Linares Supervisor Alexander Perez</t>
  </si>
  <si>
    <t>Solicitud trámite de pago certificado de cumplimiento Pago No. 02 contrato CO1.PCCNTR.7486804 - Manuel Santiago Sierra Ochoa.</t>
  </si>
  <si>
    <t>Solicitud trámite de pago certificado de cumplimiento Pago No. 02 contrato CO1.PCCNTR. 7375238 - ANDRES FELIPE DUARTE RODRIGUEZ.</t>
  </si>
  <si>
    <t>Solicitud trámite de pago certificado de cumplimiento Pago No. 02 contrato CO1.PCCNTR. 7527446 - Olga Lucia Carranza Molina.</t>
  </si>
  <si>
    <t>Solicitud trámite de pago certificado de cumplimiento Pago No. 02 contrato CO1.PCCNTR. 7448734 - MONICA CRISTINA CASTAÑEDA.</t>
  </si>
  <si>
    <t>Solicitud trámite de pago certificado de cumplimiento Pago No. 01 contrato CO1.PCCNTR.7618200 - ERICK ALEXANDER FERNANDEZ CARMONA.</t>
  </si>
  <si>
    <t>FERNANDEZ CARMONA ERICK ALEXANDER</t>
  </si>
  <si>
    <t>Solicitud trámite de pago certificado de cumplimiento Pago No. 03 contrato CO1.PCCNTR.7236551 - CHRISTIAN CAMILO VARGAS ARGÜELLO</t>
  </si>
  <si>
    <t>[I] Certificado de Cumplimiento del Pago No. 2 CO1.PCCNTR.7412289 MARYENI KARINA ENRÍQUEZ ENRÍQUEZ.</t>
  </si>
  <si>
    <t>[I] Certificado de Cumplimiento del Pago No. 3 CO1.PCCNTR.7245419 LAURA FLECHAS MEJIA</t>
  </si>
  <si>
    <t>[F] Certificado de Cumplimiento del Pago No. 2 CO1.PCCNTR.7368367 JOHN ALEXANDER SANCHEZ CARDOZO</t>
  </si>
  <si>
    <t>[F] Certificado de Cumplimiento del Pago No. 3 CO1.PCCNTR.7299191 SARAY GISELLA GOMEZ GARNICA</t>
  </si>
  <si>
    <t>Solicitud trámite de pago certificado de cumplimiento Pago No. 2 contrato CO1.PCCNTR.7348886 Jeyson Ortega</t>
  </si>
  <si>
    <t>Linda Mayerly Cardenas Ramirez</t>
  </si>
  <si>
    <t>Tramite de pago Juan Sebastian CO1.PCCNTR.7678919</t>
  </si>
  <si>
    <t>HOYOS GOMEZ JUAN SEBASTIAN</t>
  </si>
  <si>
    <t>Solicitud trámite de pago certificado de cumplimiento Pago No.002 contrato CO1.PCCNTR.7539470</t>
  </si>
  <si>
    <t>Solicitud trámite de pago certificado de cumplimiento Pago No. 01 contrato CO1.PCCNTR.7619744 - NORABIS ESTHER TEJEDOR CASSIANI</t>
  </si>
  <si>
    <t>TEJEDOR CASSIANI NORABIS ESTHER</t>
  </si>
  <si>
    <t>111238725-111243025</t>
  </si>
  <si>
    <t>Solicitud trámite de pago certificado de cumplimiento Pago No. 003 contrato CO1.PCCNTR.7316322 WILLIAM FERNANDO FONSECA REYES</t>
  </si>
  <si>
    <t>[F] Certificado de Cumplimiento del Pago No. 3 CO1.PCCNTR.7229767 MONICA MARIA RUEDA VEGA</t>
  </si>
  <si>
    <t>Solicitud trámite de pago certificado de cumplimiento Pago No. 003 contrato CO1.PCCNTR. 7253988 OSCAR IVAN MARQUEZ SALAZAR.</t>
  </si>
  <si>
    <t>Certificado de cumplimiento del Pago No. 003 del contrato CO1.PCCNTR.7269</t>
  </si>
  <si>
    <t>Solicitud trámite de pago certificado de cumplimiento Pago No. 003 contrato CO1.PCCNTR. 7209574 Diana Carolina Armenta Celis</t>
  </si>
  <si>
    <t>Solicitud trámite de pago Certificado de Cumplimiento Pago No. 2 contrato CO1.PCCNTR.7196914 – Edwin Andrés García Amaya</t>
  </si>
  <si>
    <t>[I] Certificado de Cumplimiento del Pago No. 2 CO1.PCCNTR.7425199 DANIEL DE JESÚS RESTREPO SOTO.</t>
  </si>
  <si>
    <t>Solicitud trámite de pago certificado de cumplimiento Pago No. 3 contrato CO1.PCCNTR.7309812 RAUL BAEZ DELGADO</t>
  </si>
  <si>
    <t>108164825-128548125</t>
  </si>
  <si>
    <t>Solicitud trámite de pago certificado de cumplimiento Pago No. 4 Orden de compra No 140719 DISTRACOM S.A</t>
  </si>
  <si>
    <t>Certificado de cumplimiento Pago No. 02 contrato CO1.PCCNTR. 7364800</t>
  </si>
  <si>
    <t>RODRIGUEZ EDWIN</t>
  </si>
  <si>
    <t>Tercer Pago Ninroth Espìnosa Muñoz Supervisor Alexander Perez Guavita</t>
  </si>
  <si>
    <t>Solicitud trámite de pago certificado de cumplimiento Pago No. 2 contrato CO1.PCCNTR.7362568 Wilson Hurtado Marzo</t>
  </si>
  <si>
    <t>Solicitud trámite de pago certificado de cumplimiento Pago No. 2 contrato CO1.PCCNTR.7421816 Lady Johana Galindo Marzo</t>
  </si>
  <si>
    <t>Solicitud trámite de pago certificado de cumplimiento Pago No. 3 contrato PCCNTR.7305544 Diego Peñaranda Marzo</t>
  </si>
  <si>
    <t>Remisorio del certificado de cumplimiento</t>
  </si>
  <si>
    <t>Solicitud trámite de pago certificado de cumplimiento Pago No.13, contrato CO1.PCCNTR.5896494.ALAS DE COLOMBIA</t>
  </si>
  <si>
    <t>Solicitud trámite de pago certificado de cumplimiento Pago No. 2 contrato CO1.PCCNTR. 7367652 Angie Barrera Marzo</t>
  </si>
  <si>
    <t>Solicitud trámite de pago certificado de cumplimiento Pago No. 02 contrato CO1.PCCNTR. 7366385 - MARIA PAULA CORRALES MENDOZA</t>
  </si>
  <si>
    <t>Solicitud trámite de pago certificado de cumplimiento Pago No. 03 contrato CO1.PCCNTR.7235879 -JUAN DAVID ARBELAEZ GALVEZ.</t>
  </si>
  <si>
    <t>Solicitud trámite de pago certificado de cumplimiento Pago No. 03 contrato CO1.PCCNTR.7212724</t>
  </si>
  <si>
    <t>Solicitud trámite de pago certificado de cumplimiento Pago No. 2 contrato No. CO1.PCCNTR.7362555 Natalia Vargas Marzo</t>
  </si>
  <si>
    <t>Solicitud trámite de pago certificado de cumplimiento Pago No. 1 contrato CO1.PCCNTR.7585353 Christian Duque Marzo</t>
  </si>
  <si>
    <t>DUQUE PARRA CHRISTIAN LEONARDO</t>
  </si>
  <si>
    <t>Certificado de cumplimiento Pago No. 02 contrato CO1.PCCNTR. 7353918</t>
  </si>
  <si>
    <t>Solicitud trámite de pago certificado de cumplimiento Pago No. 02 contrato CO1.PCCNTR. 7463335 - JUAN DAVID PALACIOS SUAREZ.</t>
  </si>
  <si>
    <t>Solicitud trámite de pago certificado de cumplimiento Pago No. 3 contrato CO1.PCCNTR.7292780</t>
  </si>
  <si>
    <t>[F] Certificado de Cumplimiento del Pago No. 2 CO1.PCCNTR.7478877 JENNY LORENA IBARGUEN VALVERDE</t>
  </si>
  <si>
    <t>Solicitud trámite de pago - Certificado de cumplimiento Pago No. 02 - Contrato CO1.PCCNTR.7337347 – Luis Alejandro Rodríguez</t>
  </si>
  <si>
    <t>Alcance solicitud trámite de pago certificado de cumplimiento Pago No. 03, contrato CO1.PCCNTR.7211982. (Radicado 20251100023873)</t>
  </si>
  <si>
    <t>[I] Certificado de Cumplimiento del Pago No. 2 CO1.PCCNTR.7408024 PAULA NATALIA RIVERO.</t>
  </si>
  <si>
    <t>Solicitud trámite de pago certificado de cumplimiento Pago No.03 contrato CO1.PCCNTR.7314388. ADRIANA YASMILI ROJAS ORTIZ.</t>
  </si>
  <si>
    <t>Solicitud trámite de pago certificado de cumplimiento Pago No.03 contrato CO1.PCCNTR.7253621. Estefany Lizette Cajamarca Martinez</t>
  </si>
  <si>
    <t>[F] Certificado de Cumplimiento del Pago No. 2 CO1.PCCNTR.7479804 CRISTIAN ALEJANDRO BLANCO MARTINEZ.</t>
  </si>
  <si>
    <t>Solicitud trámite de pago certificado de cumplimiento Pago No. 02 contrato CO1.PCCNTR.7428845 -JANNLUCK CANOSA CANTOR</t>
  </si>
  <si>
    <t>Solicitud trámite de pago certificado de cumplimiento Pago No.03 contrato CO1.PCCNTR.7217655. EDISSON VELÁSQUEZ RIVERA.</t>
  </si>
  <si>
    <t>Solicitud trámite de pago certificado de cumplimiento Pago No. 2 contrato No. CO1.PCCNTR.7463637 David Guevara Marzo</t>
  </si>
  <si>
    <t>Solicitud trámite de pago certificado de cumplimiento Pago No. 2 contrato CO1.PCCNTR.7544936 Juan Ávila</t>
  </si>
  <si>
    <t>Solicitud trámite de pago certificado de cumplimiento Pago No. 3 contrato No. CO1.PCCNTR.7322955 Maria Fernanda Corredor</t>
  </si>
  <si>
    <t>Solicitud trámite de pago certificado de cumplimiento Pago No. 02 contrato CO1.PCCNTR.7528137 - JHON EDISON ENRÍQUEZ OCHOA</t>
  </si>
  <si>
    <t>Solicitud trámite de pago certificado de cumplimiento Pago No. 01 contrato CO1.PCCNTR.7641861 - Mirna Casseres Cassiani.</t>
  </si>
  <si>
    <t>CASSERES CASSIANI MIRNA</t>
  </si>
  <si>
    <t>Certificado de cumplimiento del Pago No. 003 del contrato CO1.PCCNTR.7319342 a nombre de EDWIN ALEXANDER BAUTISTA HERNANDEZ.</t>
  </si>
  <si>
    <t>Solicitud trámite de pago certificado de cumplimiento Pago No.03 contrato CO1.PCCNTR.7264942. SANDRA MILENA ROMERO VARGAS</t>
  </si>
  <si>
    <t>Tramite 3er pago contrato CO1.PCCNTR.7253814</t>
  </si>
  <si>
    <t>Solicitud trámite de pago certificado de cumplimiento Pago No. 02 contrato CO1.PCCNTR. 7344961 - RAFAEL ENRIQUE RIOS OSORIO</t>
  </si>
  <si>
    <t>Solicitud trámite de pago certificado de cumplimiento Pago No. 01 Contrato No. CO1.PCCNTR.7639923 - Lina Adelaida Jiménez Avellaneda</t>
  </si>
  <si>
    <t>JIMENEZ AVELLANEDA LINA ADELAIDA</t>
  </si>
  <si>
    <t>Solicitud trámite de pago certificado de cumplimiento Pago No. 01 contrato CO1.PCCNTR.7585116 - Iván Darío Gómez Lee S.A.S.</t>
  </si>
  <si>
    <t>IVÁN DARÍO GÓMEZ LEE S.A.S</t>
  </si>
  <si>
    <t>Solicitud trámite de pago certificado de cumplimiento Pago No.02 contrato CO1.PCCNTR.7393666. Sebastián José Martínez Petro</t>
  </si>
  <si>
    <t>Solicitud trámite de pago certificado de cumplimiento Pago No. 3 contrato CO1.PCCNTR. 7314969 David Cespedes Marzo</t>
  </si>
  <si>
    <t>119666125-119679825</t>
  </si>
  <si>
    <t>Solicitud trámite de pago certificado de cumplimiento Pago No. 01 contrato No. Contrato No. CO1.PCCNTR.7639885 de ANGELICA DIAZ ORTIZ</t>
  </si>
  <si>
    <t>DIAZ ORTIZ ANGELICA</t>
  </si>
  <si>
    <t>Certificado de cumplimiento No.3 - Elkin Javier Rojas</t>
  </si>
  <si>
    <t>Solicitud trámite de pago certificado de cumplimiento Pago No. 01 contrato CO1.PCCNTR.7620010 - Stephanie Gire Zamora Guzmán.</t>
  </si>
  <si>
    <t>ZAMORA GUZMAN STEPHANIE GIRE</t>
  </si>
  <si>
    <t>Solicitud trámite de pago certificado de cumplimiento Pago No. 02 contrato CO1.PCCNTR. 7448769 - CLAUDIA PATRICIA CHAVES VIVAS</t>
  </si>
  <si>
    <t>112806525-112810425</t>
  </si>
  <si>
    <t>Solicitud trámite de pago certificado de cumplimiento Pago No. 5 Orden de compra No 140719 DISTRACOM S.A</t>
  </si>
  <si>
    <t>Solicitud trámite de pago certificado de cumplimiento Pago No. 03 contrato CO1.PCCNTR.7306619</t>
  </si>
  <si>
    <t>Solicitud trámite de pago certificado de cumplimiento Pago No.7 CO1.PCCNTR.6572443</t>
  </si>
  <si>
    <t>Solicitud trámite de pago certificado de cumplimiento Pago No.8 CO1.PCCNTR.6572443</t>
  </si>
  <si>
    <t>Segundo pago contrato No°CO1.PCCNTR.7349227 Wilson Didier Santamaría Mosquera</t>
  </si>
  <si>
    <t>Solicitud trámite de pago certificado de cumplimiento Pago No.5 CO1.PCCNTR.7126910</t>
  </si>
  <si>
    <t>Solicitud trámite de pago certificado de cumplimiento Pago No. 02 contrato CO1.PCCNTR.7349615 a nombre de Juan Libardo Avendaño Suarez</t>
  </si>
  <si>
    <t>Solicitud trámite de pago certificado de cumplimiento Pago No. 01 contrato CO1.PCCNTR. 7611633 Manuel Alejandro Montoya Vargas.</t>
  </si>
  <si>
    <t>MONTOYA VARGAS MANUEL ALEJANDRO</t>
  </si>
  <si>
    <t>Solicitud trámite de pago certificado de cumplimiento Pago No. 03 contrato CO1.PCCNTR. 7210815</t>
  </si>
  <si>
    <t>Solicitud trámite de pago certificado de cumplimiento Pago No. 3 contrato CO1.PCCNTR.7431674</t>
  </si>
  <si>
    <t>Solicitud trámite de pago certificado de cumplimiento Pago No. 015 contrato CO1.PCCNTR. 5735887 Fiduciaria Bancolombia S.A.</t>
  </si>
  <si>
    <t>Certificado de cumplimiento Pago No. 02 contrato CO1.PCCNTR. 7449114</t>
  </si>
  <si>
    <t>Fecha</t>
  </si>
  <si>
    <t>Dependencia a la que pertenece el supervisor</t>
  </si>
  <si>
    <t>Valor Bruto</t>
  </si>
  <si>
    <t>mayo</t>
  </si>
  <si>
    <t>Solicitud trámite de pago certificado de cumplimiento Pago No. 004 contrato CO1.PCCNTR.7311815</t>
  </si>
  <si>
    <t>SGI</t>
  </si>
  <si>
    <t>$ 4.500.000</t>
  </si>
  <si>
    <t>Solicitud trámite de pago certificado de cumplimiento Pago No. 004 contrato CO1.PCCNTR.7253311</t>
  </si>
  <si>
    <t>$ 6.500.000</t>
  </si>
  <si>
    <t>Solicitud trámite de pago certificado de cumplimiento Pago No.14, contrato CO1.PCCNTR.5896494.</t>
  </si>
  <si>
    <t xml:space="preserve">	OSCAR NICOLAS MEJIA DEVIA</t>
  </si>
  <si>
    <t>SG</t>
  </si>
  <si>
    <t>$ 7.980.000</t>
  </si>
  <si>
    <t>Solicitud trámite de pago certificado de cumplimiento Pago No.8, contrato ORDEN DE COMPRA 132180</t>
  </si>
  <si>
    <t>$ 20.795.508</t>
  </si>
  <si>
    <t>Solicitud trámite de pago certificado de cumplimiento Pago No. 04 contrato CO1.PCCNTR.7217580</t>
  </si>
  <si>
    <t xml:space="preserve">	FREDY GABRIEL BAUTISTA RUIZ</t>
  </si>
  <si>
    <t>$ 8.000.000</t>
  </si>
  <si>
    <t>F-Solicitud trámite de pago certificado de cumplimiento Pago No. 4 contrato CO1.PCCNTR.7208871 Adriana Katherine Munar Aponte</t>
  </si>
  <si>
    <t>OAP</t>
  </si>
  <si>
    <t>$ 9.500.000</t>
  </si>
  <si>
    <t>Solicitud trámite de pago certificado de cumplimiento Pago No. 3 contrato CO1.PCCNTR.7402312 MARIA JOSE PATIÑO GUTIERREZ</t>
  </si>
  <si>
    <t>$ 3.794.700</t>
  </si>
  <si>
    <t>Solicitud trámite de pago certificado de cumplimiento Pago No. 04 contrato CO1.PCCNTR.7238896</t>
  </si>
  <si>
    <t>SEE</t>
  </si>
  <si>
    <t>$ 7.866.500</t>
  </si>
  <si>
    <t>Solicitud trámite de pago certificado de cumplimiento Pago No. 03 contrato CO1.PCCNTR.7377021</t>
  </si>
  <si>
    <t>Solicitud trámite de pago certificado de cumplimiento Pago No. 03 contrato CO1.PCCNTR.7339270 – IVONN MARLLERY MARIÑO HIGUERA</t>
  </si>
  <si>
    <t>2025114140100139E </t>
  </si>
  <si>
    <t>SH</t>
  </si>
  <si>
    <t>133672525-133674725</t>
  </si>
  <si>
    <t>$ 10.960.137</t>
  </si>
  <si>
    <t>SOLICITUD DE PAGO N°3 YEIMY TATIANA ACOSTA GUZMÁN, CO1.PCCNTR. 7363896</t>
  </si>
  <si>
    <t>$ 3.285.450</t>
  </si>
  <si>
    <t>[F] Certificado de Cumplimiento del Pago No. 4 CO1.PCCNTR.7209522 BRAYAN JAVIER BAUTISTA PENAGOS</t>
  </si>
  <si>
    <t>SD</t>
  </si>
  <si>
    <t>Solicitud trámite de pago certificado de cumplimiento. Pago No. 03 Contrato CO1.PCCNTR.7420515.</t>
  </si>
  <si>
    <t>2025114140000200E </t>
  </si>
  <si>
    <t>$ 6.346.000</t>
  </si>
  <si>
    <t>Solicitud Pago No.3 contrato CO1.PCCNTR.7343482. Freddy Gómez</t>
  </si>
  <si>
    <t>$ 7.296.600</t>
  </si>
  <si>
    <t>Certificado de cumplimiento Abril</t>
  </si>
  <si>
    <t>$ 5.100.000</t>
  </si>
  <si>
    <t>2025114140100072E </t>
  </si>
  <si>
    <t>DG</t>
  </si>
  <si>
    <t>$ 8.500.000</t>
  </si>
  <si>
    <t>Solicitud trámite de pago certificado de cumplimiento Pago No. 03 contrato CO1.PCCNTR.7549475</t>
  </si>
  <si>
    <t>2025114140100247E </t>
  </si>
  <si>
    <t>JORGE FERNANDO FORERO CASTA?EDA</t>
  </si>
  <si>
    <t>$ 7.000.000</t>
  </si>
  <si>
    <t>Solicitud trámite de pago certificado de cumplimiento Pago No. 4 contrato CO1.PCCNTR.7310313</t>
  </si>
  <si>
    <t>OGP</t>
  </si>
  <si>
    <t>$ 5.473.000</t>
  </si>
  <si>
    <t>Solicitud trámite de pago certificado de cumplimiento Pago No. 4 contrato CO1.PCCNTR.7240157 a nombre de Nubia Estupiñan</t>
  </si>
  <si>
    <t>$ 6.726.760</t>
  </si>
  <si>
    <t>Solicitud trámite de pago certificado de cumplimiento Pago No. 4 Contrato CO1.PCCNTR.7215006 JENNYFER FERNANDEZ</t>
  </si>
  <si>
    <t>$ 11.000.000</t>
  </si>
  <si>
    <t>[F] Certificado de Cumplimiento del Pago No. 3 CO1.PCCNTR.7368867 JAVIER EDUARDO CHACON SUAREZ</t>
  </si>
  <si>
    <t>Solicitud trámite de pago certificado de cumplimiento Pago No. 3 Contrato CO1.PCCNTR.7396905 JESSICA MURCIA</t>
  </si>
  <si>
    <t>Solicitud trámite de pago certificado de cumplimiento Pago No.4 contrato CO1.PCCNTR.7231698 del profesional Jovana Negrete Flores</t>
  </si>
  <si>
    <t>SM</t>
  </si>
  <si>
    <t>$ 7.067.762</t>
  </si>
  <si>
    <t>Solicitud trámite de pago certificado de cumplimiento Pago No.004 contrato CO1.PCCNTR.7212893 Diana Marcela Páramo Montoya.</t>
  </si>
  <si>
    <t>$ 8.911.500</t>
  </si>
  <si>
    <t>Solicitud trámite de pago certificado de cumplimiento Pago No. 02 contrato CO1.PCCNTR.7598237 Sandra Milena Sánchez</t>
  </si>
  <si>
    <t>Cuarto pago Fernando Linares Castro CO1.PCCNTR.7255180 supervisor Alexander Perez</t>
  </si>
  <si>
    <t>$ 10.575.000</t>
  </si>
  <si>
    <t>2025114140000077E </t>
  </si>
  <si>
    <t>LEONEL MAUCION VELANDA</t>
  </si>
  <si>
    <t>Solicitud trámite de pago certificado de cumplimiento Pago No. 04 contrato CO1.PCCNTR.7211854 de la profesional Angie Carolina Piñeros Guzmán</t>
  </si>
  <si>
    <t>Francy Alexandra Herrera Ospina</t>
  </si>
  <si>
    <t>$ 9.000.000</t>
  </si>
  <si>
    <t>Solicitud trámite de pago certificado de cumplimiento Pago No. 004 Contrato CO1.PCCNTR. 7205218 a nombre de LAURA VALENTINA SANIN MORALES</t>
  </si>
  <si>
    <t>OAJ</t>
  </si>
  <si>
    <t>$ 5.507.400</t>
  </si>
  <si>
    <t>Solicitud trámite de pago certificado de cumplimiento Pago No.004 contrato CO1.PCCNTR.7238053 Brandon Stid Huaca Cuellar.</t>
  </si>
  <si>
    <t>OSCAR IVAN PARRA ACUÑA</t>
  </si>
  <si>
    <t>$ 4.332.600</t>
  </si>
  <si>
    <t>Solicitud trámite de pago certificado de cumplimiento Pago No. 4 contrato CO1.PCCNTR. 7328226</t>
  </si>
  <si>
    <t>Solicitud trámite de pago - Certificado de cumplimiento Pago No. 3 Contrato CO1.PCCNTR.7410256</t>
  </si>
  <si>
    <t>$ 11.611.300</t>
  </si>
  <si>
    <t>Solicitud trámite de pago certificado de cumplimiento Pago No. 03 contrato CO1.PCCNTR.7401123</t>
  </si>
  <si>
    <t>2025114140100182E </t>
  </si>
  <si>
    <t xml:space="preserve">	CARLOS FERNANDO VALLES FRANCO</t>
  </si>
  <si>
    <t>$ 4.000.000</t>
  </si>
  <si>
    <t>SOLICITUD TRÁMITE DE PAGO - CERTIFICADO DE CUMPLIMIENTO PAGO NO. 03 CONTRATO CO1.PCCNTR.756919 LUIS GIOVANNY PEÑA SOLANO</t>
  </si>
  <si>
    <t>$ 10.000.000</t>
  </si>
  <si>
    <t>SOLICITUD TRÁMITE DE PAGO - CERTIFICADO DE CUMPLIMIENTO PAGO NO. 04 CONTRATO CO1.PCCNTR.7323805 JUAN PABLO CIFUENTES</t>
  </si>
  <si>
    <t xml:space="preserve">	MARIA CAROLINA OBANDO VARGAS</t>
  </si>
  <si>
    <t>SOLICITUD TRÁMITE DE PAGO CERTIFICADO DE CUMPLIMIENTO PAGO NO. 04 CONTRATO CO1.PCCNTR.7324781 JULIÁN ESTEBAN SANTAMARIA ARAGÓN</t>
  </si>
  <si>
    <t>$ 7.942.200</t>
  </si>
  <si>
    <t>Solicitud trámite de pago certificado de cumplimiento Pago No. 3 contrato CO1.PCCNTR.7421816 Johana Galindo</t>
  </si>
  <si>
    <t>$ 5.044.200</t>
  </si>
  <si>
    <t>Solicitud trámite de pago certificado de cumplimiento Pago No. 003 contrato CO1.PCCNTR.7347456 Nicolás Muñoz Mora</t>
  </si>
  <si>
    <t>$ 3.630.000</t>
  </si>
  <si>
    <t>Solicitud trámite de pago certificado de cumplimiento Pago No.6, contrato CO1.PCCNTR.7126910</t>
  </si>
  <si>
    <t>$ 11.390.297</t>
  </si>
  <si>
    <t>Solicitud trámite Pago No. 004 contrato CO1.PCCNTR.7256686 Kelly Toro</t>
  </si>
  <si>
    <t>$ 12.544.456</t>
  </si>
  <si>
    <t>Solicitud trámite de pago certificado de cumplimiento Pago No. 1 contrato CO1.PCCNTR. AO-2025-001</t>
  </si>
  <si>
    <t>2024114140000216E </t>
  </si>
  <si>
    <t>Otro</t>
  </si>
  <si>
    <t>FASTMARKETS GLOBAL LIMITED</t>
  </si>
  <si>
    <t>$ 234.500.000</t>
  </si>
  <si>
    <t>Solicitud trámite de pago certificado de cumplimiento Pago No. 03. Contrato CO1.PCCNTR.7411853 – Francisco de Paula Toro Zea</t>
  </si>
  <si>
    <t>Solicitud trámite de pago certificado de cumplimiento. Pago No. 03 Contrato CO1.PCCNTR.7411325. Cristian Fonseca</t>
  </si>
  <si>
    <t>Solicitud trámite de pago certificado de cumplimiento Pago No.003 contrato CO1.PCCNTR.7367128 FELIPE RODRÍGUEZ TUTA</t>
  </si>
  <si>
    <t>$ 3.758.500</t>
  </si>
  <si>
    <t>Solicitud trámite de pago certificado de cumplimiento Pago No. 03 contrato CO1.PCCNTR.7377761 Leidy Vera</t>
  </si>
  <si>
    <t>$ 3.450.000</t>
  </si>
  <si>
    <t>Solicitud trámite de pago certificado de cumplimiento Pago No. 4 contrato No. CO1.PCCNTR.7322955</t>
  </si>
  <si>
    <t>$ 5.159.000</t>
  </si>
  <si>
    <t>Solicitud trámite de pago certificado de cumplimiento Pago No. 3 contrato CO1.PCCNTR.7348886</t>
  </si>
  <si>
    <t>$ 4.804.000</t>
  </si>
  <si>
    <t>Solicitud trámite de pago certificado de cumplimiento Pago No. 3 contrato No. CO1.PCCNTR.7463637</t>
  </si>
  <si>
    <t>Solicitud trámite de pago certificado de cumplimiento Pago No. 3 contrato CO1.PCCNTR. 7367652</t>
  </si>
  <si>
    <t>Solicitud trámite de pago certificado de cumplimiento Pago No. 3 contrato CO1.PCCNTR.7362568</t>
  </si>
  <si>
    <t>$ 3.290.000</t>
  </si>
  <si>
    <t>Solicitud trámite de pago certificado de cumplimiento Pago No. 4 contrato CO1.PCCNTR. 7314969</t>
  </si>
  <si>
    <t>$ 7.016.000</t>
  </si>
  <si>
    <t>Solicitud trámite de pago certificado de cumplimiento Pago No. 4 contrato PCCNTR.7305544</t>
  </si>
  <si>
    <t>$ 7.200.000</t>
  </si>
  <si>
    <t>Solicitud trámite de pago certificado de cumplimiento Pago No. 3 contrato No. CO1.PCCNTR.7362555 Natalia Vargas</t>
  </si>
  <si>
    <t>$ 6.000.000</t>
  </si>
  <si>
    <t>Solicitud trámite de pago certificado de cumplimiento Pago No. 4 contrato CO1.PCCNTR7292416 Edmna Maritza Real Salinas</t>
  </si>
  <si>
    <t>2025114140100091E </t>
  </si>
  <si>
    <t>$ 8.017.840</t>
  </si>
  <si>
    <t>Solicitud trámite de pago certificado de cumplimiento Pago No. 004 contrato CO1.PCCNTR.7213727</t>
  </si>
  <si>
    <t>2025114140000038E </t>
  </si>
  <si>
    <t>$ 7.280.000</t>
  </si>
  <si>
    <t>Solicitud trámite de pago certificado de cumplimiento Pago No.4 contrato CO1.PCCNTR.7254981 Karen Tatiana Girón</t>
  </si>
  <si>
    <t>Solicitud trámite de pago certificado de cumplimiento Pago No.3 contrato CO1.PCCNTR.7423828 Nasly Mabel López</t>
  </si>
  <si>
    <t>$ 5.500.000</t>
  </si>
  <si>
    <t>Solicitud trámite de pago certificado de cumplimiento Pago No. 04 contrato CO1.PCCNTR.7333126 - NICOLAS FERNANDO BELTRAN ALEMAN.</t>
  </si>
  <si>
    <t>$ 5.000.000</t>
  </si>
  <si>
    <t>Solicitud trámite de pago certificado de cumplimiento Pago No. 4 contrato CO1.PCCNTR.7243623</t>
  </si>
  <si>
    <t>2025114140000003E </t>
  </si>
  <si>
    <t>$ 7.907.246</t>
  </si>
  <si>
    <t>Solicitud trámite de pago certificado de cumplimiento Pago No. 2 contrato CO1.PCCNTR.7585353</t>
  </si>
  <si>
    <t>$ 7.875.000</t>
  </si>
  <si>
    <t>Solicitud trámite de pago certificado de cumplimiento Pago No. 03 contrato CO1.PCCNTR.7401156 - Jesús Eduardo Sánchez Daza</t>
  </si>
  <si>
    <t>2025114140100192E </t>
  </si>
  <si>
    <t>Solicitud trámite de pago certificado de cumplimiento Pago No. 03 contrato CO1.PCCNTR. 7340328 Julieth Garcia</t>
  </si>
  <si>
    <t>$ 7.100.000</t>
  </si>
  <si>
    <t>Solicitud trámite de pago certificado de cumplimiento Pago No. 03 contrato CO1.PCCNTR.7347019 -GIOVANNY ALEXANDER SANABRIA VELÁZQUEZ</t>
  </si>
  <si>
    <t>$ 3.996.300</t>
  </si>
  <si>
    <t>Solicitud trámite de pago - Certificado de cumplimiento Pago No. 3 Contrato CO1.PCCNTR.7448707</t>
  </si>
  <si>
    <t>$ 9.677.850</t>
  </si>
  <si>
    <t>Solicitud trámite de pago certificado de cumplimiento Pago No. 4 contrato CO1.PCCNTR.7270418 Gildardo Andres Vargas Acuña</t>
  </si>
  <si>
    <t>$ 7.500.000</t>
  </si>
  <si>
    <t>Solicitud trámite de pago certificado de cumplimiento Pago No. 3 contrato CO1.PCCNTR.7462945</t>
  </si>
  <si>
    <t xml:space="preserve">	OLIVER QUINTERO PERDOMO</t>
  </si>
  <si>
    <t>Solicitud trámite de pago certificado de cumplimiento Pago No. 1 contrato CO1.PCCNTR.7752785</t>
  </si>
  <si>
    <t>CARMONA GIRALDO NATALI</t>
  </si>
  <si>
    <t>$ 3.366.440</t>
  </si>
  <si>
    <t>Solicitud trámite de pago certificado de cumplimiento Pago No. 03 contrato No CO1.PCCNTR.7504677 de BIBIANA CALDERON SIERRA</t>
  </si>
  <si>
    <t>$ 7.564.000</t>
  </si>
  <si>
    <t>Certificado de Cumplimiento del Pago No. 4 - CO1.PCCNTR.7212382 ANDRES STEVEN MORALES RODRÍGUEZ</t>
  </si>
  <si>
    <t>$ 4.374.300</t>
  </si>
  <si>
    <t>Solicitud trámite de pago certificado de cumplimiento Pago No. 04 contrato No. CO1.PCCNTR.7233044 a nombre de CRISTIAN ELIECER BEDOYA GONZALEZ</t>
  </si>
  <si>
    <t>$ 5.429.062</t>
  </si>
  <si>
    <t>Solicitud trámite de pago- certificado de cumplimiento. Pago No. 004- Contrato CO1.PCCNT.7208702- MARÍA CAMILA HERRERA CHARRY.</t>
  </si>
  <si>
    <t>[I] Certificado de Cumplimiento del Pago No. 4 CO1.PCCNTR.7236878 VERONICA ORTIZ CERON</t>
  </si>
  <si>
    <t>2025114140000052E </t>
  </si>
  <si>
    <t>$ 10.418.100</t>
  </si>
  <si>
    <t>[I] Certificado de Cumplimiento del Pago No. 4 CO1.PCCNTR.7237610 BOLIVAR ANDRES MONROY MATALLANA</t>
  </si>
  <si>
    <t>Certificado de cumplimiento Pago No. 04 contrato CO1.PCCNTR. 7333105</t>
  </si>
  <si>
    <t>$ 6.260.650</t>
  </si>
  <si>
    <t>[F] Certificado de Cumplimiento del Pago No. 4 CO1.PCCNTR.7299749 MIGUEL VIVEROS MIRA</t>
  </si>
  <si>
    <t>[F] Certificado de Cumplimiento del Pago No. 3 CO1.PCCNTR.7397082 JUAN DAVID GONZALEZ ARENAS</t>
  </si>
  <si>
    <t>$ 3.630.900</t>
  </si>
  <si>
    <t>Solicitud trámite de pago certificado de cumplimiento Pago No. 1 contrato CO1.PCCNTR.7703844 (Yossie Esteban Torrijos Ospina).</t>
  </si>
  <si>
    <t>2025114140000271E </t>
  </si>
  <si>
    <t>TORRIJOS OSPINA YOSSIE ESTEBAN</t>
  </si>
  <si>
    <t>certificado de cumplimiento Pago No. 03 contrato CO1.PCCNTR. 7425052</t>
  </si>
  <si>
    <t>$ 3.300.000</t>
  </si>
  <si>
    <t>Certificación cumplimiento</t>
  </si>
  <si>
    <t>$ 6.300.000</t>
  </si>
  <si>
    <t>Solicitud trámite de pago certificado de cumplimiento Pago No. 004 Contrato CO1.PCCNTR. 7204712 a nombre de MILENA HERRERA DE LA HOZ</t>
  </si>
  <si>
    <t>Solicitud trámite de pago - Certificado de cumplimiento Pago No. 4 Contrato CO1.PCCNTR.7250418</t>
  </si>
  <si>
    <t>2025114140100073E </t>
  </si>
  <si>
    <t>[I] Certificado de Cumplimiento del Pago No. 4 CO1.PCCNTR.7236808 ERIKA JOHANNA FLÓREZ CHALA</t>
  </si>
  <si>
    <t>$ 13.213.760</t>
  </si>
  <si>
    <t>Solicitud trámite de pago certificado de cumplimiento Pago No. 3 contrato CO1.PCCNTR. 7341034</t>
  </si>
  <si>
    <t>2025114140000145E </t>
  </si>
  <si>
    <t>147134425-147134825</t>
  </si>
  <si>
    <t>$ 9.539.487</t>
  </si>
  <si>
    <t>Solicitud trámite de pago certificado de cumplimiento Pago No. 3 contrato CO1.PCCNTR. 7477901</t>
  </si>
  <si>
    <t>2025114140000222E </t>
  </si>
  <si>
    <t>Solicitud trámite de pago certificado de cumplimiento Pago No. 03 contrato CO1.PCCNTR. 7518134</t>
  </si>
  <si>
    <t>Certificado de cumplimiento Pago No. 04 contrato CO1.PCCNTR. 7316296</t>
  </si>
  <si>
    <t>$ 6.240.000</t>
  </si>
  <si>
    <t>Solicitud trámite de pago certificado de cumplimiento Pago No. 03 contrato CO1.PCCNTR. 7527446</t>
  </si>
  <si>
    <t>Solicitud trámite de pago certificado de cumplimiento Pago No. 04 contrato CO1.PCCNTR.7215046 de 2025. Abril 2025 David Leonardo Peña González.</t>
  </si>
  <si>
    <t>$ 8.569.000</t>
  </si>
  <si>
    <t>Solicitud trámite de pago certificado de cumplimiento Pago No. 4 contrato CO1.PCCNTR.7230550</t>
  </si>
  <si>
    <t>Solicitud trámite de pago certificado de cumplimiento Pago No. 03 contrato CO1.PCCNTR. 7463335</t>
  </si>
  <si>
    <t>Solicitud trámite de pago certificado de cumplimiento Pago No. 04 contrato CO1.PCCNTR. 7218834 Aura María bermudez</t>
  </si>
  <si>
    <t>$ 12.739.080</t>
  </si>
  <si>
    <t>Solicitud trámite de pago certificado de cumplimiento Pago No. 004 contrato CO1.PCCNTR. 7208227</t>
  </si>
  <si>
    <t>Solicitud trámite de pago certificado de cumplimiento Pago No. 02 contrato CO1.PCCNTR. 7611633</t>
  </si>
  <si>
    <t>$ 6.900.000</t>
  </si>
  <si>
    <t>Solicitud trámite de pago certificado de cumplimiento Pago No. 01 contrato CO1.PCCNTR.7748347</t>
  </si>
  <si>
    <t>LOPEZ BOLIVAR MARIA CRISTINA</t>
  </si>
  <si>
    <t>$ 6.897.700</t>
  </si>
  <si>
    <t>Solicitud trámite de pago certificado de cumplimiento Pago No. 04 contrato CO1.PCCNTR. 7299247</t>
  </si>
  <si>
    <t>$ 7.400.000</t>
  </si>
  <si>
    <t>Solicitud trámite de pago certificado de cumplimiento Pago No. 03 contrato CO1.PCCNTR. 7375238</t>
  </si>
  <si>
    <t>Solicitud trámite de pago certificado de cumplimiento Pago No. 04 contrato CO1.PCCNTR.7236456 Paola Andrea García Rueda</t>
  </si>
  <si>
    <t>$ 8.369.700</t>
  </si>
  <si>
    <t>Solicitud trámite de pago certificado de cumplimiento Pago No. 03 contrato CO1.PCCNT.7554825 del profesional Harol Andrey Ávila Chocontá</t>
  </si>
  <si>
    <t>Solicitud trámite de pago certificado de cumplimiento Pago No. 003 contrato CO1.PCCNTR.7362534 John Avila</t>
  </si>
  <si>
    <t xml:space="preserve">	JOHN ALEJANDRO BARRIOS ÁVILA</t>
  </si>
  <si>
    <t>OGI</t>
  </si>
  <si>
    <t>$ 13.000.000</t>
  </si>
  <si>
    <t>Solicitud Pago No.3 contrato CO1.PCCNTR.7421118 Juan Alvarado</t>
  </si>
  <si>
    <t>$ 3.254.100</t>
  </si>
  <si>
    <t>Solicitud trámite de pago certificado de cumplimiento Pago No. 3 Contrato CO1.PCCNTR.7393821 ANGIE ANDREA MONTOYA GONZALEZ</t>
  </si>
  <si>
    <t>$ 7.896.600</t>
  </si>
  <si>
    <t>Solicitud trámite de pago certificado de cumplimiento Pago No. 4 contrato CO1.PCCNTR.7255926.</t>
  </si>
  <si>
    <t>$ 5.930.000</t>
  </si>
  <si>
    <t>Solicitud trámite de pago certificado de cumplimiento Pago No. 4 contrato No.CO1.PCCNTR.7317033 Laura Berrio</t>
  </si>
  <si>
    <t>Solicitud trámite de pago certificado de cumplimiento Pago No. 003 contrato CO1.PCCNTR.7415776 Juan Dominguez</t>
  </si>
  <si>
    <t>Solicitud trámite de pago certificado de cumplimiento Pago No. 03 contrato CO1.PCCNTR. 7348425 Olga Rojas</t>
  </si>
  <si>
    <t>Solicitud trámite de pago certificado de cumplimiento Pago No. 04 contrato CO1.PCCNTR.7238540 del profesional Carlos Darío Cristiano Botia</t>
  </si>
  <si>
    <t>$ 4.335.000</t>
  </si>
  <si>
    <t>Solicitud trámite de pago certificado de cumplimiento Pago No.04 contrato CO1.PCCNTR.7253621. Estefany Lizette Cajamarca Martinez</t>
  </si>
  <si>
    <t xml:space="preserve">	JAIRO RIAÑO MORENO</t>
  </si>
  <si>
    <t>$ 4.372.000</t>
  </si>
  <si>
    <t>Cuarto pago CO1.PCCNTR.7265924 Contratista Ninroth Espinosa Muñoz Supervisor Alexander Perez</t>
  </si>
  <si>
    <t>EDGAR ALEXANDER PEREZ</t>
  </si>
  <si>
    <t>Solicitud trámite de pago certificado de cumplimiento Pago No.04 contrato CO1.PCCNTR.7217655. EDISSON VELÁSQUEZ RIVERA</t>
  </si>
  <si>
    <t>$ 4.084.000</t>
  </si>
  <si>
    <t>Solicitud trámite de pago certificado de cumplimiento Pago No.04 contrato CO1.PCCNTR.7264942. SANDRA MILENA ROMERO VARGAS</t>
  </si>
  <si>
    <t>Solicitud trámite de pago certificado de cumplimiento Pago No. 004 contrato CO1.PCCNTR.7207531 Karina Andrea Gómez Cely</t>
  </si>
  <si>
    <t>Certificado de Cumplimiento del Pago No. 3 - CO1.PCCNTR.7423185 MARIA XIMENA CACERES PRADO</t>
  </si>
  <si>
    <t>$ 8.650.000</t>
  </si>
  <si>
    <t>[F] Certificado de Cumplimiento del Pago No. 3 CO1.PCCNTR.7482219 LADY CAROLINA GIRALDO BELLO</t>
  </si>
  <si>
    <t>[F] Certificado de Cumplimiento del Pago No. 3 CO1.PCCNTR.7451843 EMMANUEL JOSE MANZANO VERJEL</t>
  </si>
  <si>
    <t>[F] Certificado de Cumplimiento del Pago No. 3 CO1.PCCNTR.7366311 NICOLAS AUGUSTO MARIN PINZON</t>
  </si>
  <si>
    <t>[F] Certificado de Cumplimiento del Pago No. 4 CO1.PCCNTR.7212702 ADRIAN CAMILO CORTES VILLADA</t>
  </si>
  <si>
    <t>$ 1.095.150</t>
  </si>
  <si>
    <t>Certificado de Cumplimiento del Pago No. 4 - CO1.PCCNTR.7300256 ANGELA PATRICIA TORRES LUNA</t>
  </si>
  <si>
    <t>$ 6.663.300</t>
  </si>
  <si>
    <t>Certificado de Cumplimiento del Pago No. 3 - CO1.PCCNTR.7478008 ANDREA LACHE MUÑOZ</t>
  </si>
  <si>
    <t>$ 8.997.450</t>
  </si>
  <si>
    <t>Solicitud trámite de pago certificado de cumplimiento Pago No. 4 Contrato CO1.PCCNTR.7213082 - Diana Carolina Bohórquez Gil</t>
  </si>
  <si>
    <t>Solicitud trámite de pago certificado de cumplimiento Pago No. 04 contrato CO1.PCCNTR.7210854 Johana Carolina Bastidas</t>
  </si>
  <si>
    <t>$ 12.000.000</t>
  </si>
  <si>
    <t>Solicitud trámite de pago certificado de cumplimiento Pago No. 04 contrato CO1.PCCNTR. 7298915 Marlet García</t>
  </si>
  <si>
    <t>Solicitud trámite de pago certificado de cumplimiento Pago No. 004 contrato No. CO1.PCCNTR.7203693</t>
  </si>
  <si>
    <t>CERTIFICADO DE CUMPLIMIENTO YEIMY BUITRAGO PAGO 4</t>
  </si>
  <si>
    <t>$ 7.366.800</t>
  </si>
  <si>
    <t>Certificado de Cumplimiento del Pago No. 4 - CO1.PCCNTR.7230359 JUAN JOSE CASTAÑO GUTIERREZ</t>
  </si>
  <si>
    <t>Solicitud trámite de pago certificado de cumplimiento Pago No.04 contrato CO1.PCCNTR.7314388. ADRIANA YASMILI ROJAS ORTIZ</t>
  </si>
  <si>
    <t>$ 8.300.000</t>
  </si>
  <si>
    <t>Solicitud trámite de pago certificado de cumplimiento Pago No. 4 contrato CO1.PCCNTR. 7297643 ARCHIVOS DEL ESTADO</t>
  </si>
  <si>
    <t>$ 10.486.362</t>
  </si>
  <si>
    <t>Solicitud trámite de pago certificado de cumplimiento Pago No. 03 contrato CO1.PCCNTR.7374441 Daniela Uribe Abril</t>
  </si>
  <si>
    <t>Certificado de cumplimiento Pago No. 04 contrato CO1.PCCNTR. 7268541</t>
  </si>
  <si>
    <t>$ 3.299.450</t>
  </si>
  <si>
    <t>Solicitud trámite de pago certificado de cumplimiento Pago No. 4 contrato CO1.PCCNTR.7309812 RAUL BAEZ DELGADO</t>
  </si>
  <si>
    <t>Solicitud trámite de pago certificado de cumplimiento Pago No. 3 contrato No CO1.PCCNTR.7216895 Magnery Edith Vargas Morales.</t>
  </si>
  <si>
    <t>$ 7.436.960</t>
  </si>
  <si>
    <t>Cumplimiento Pago No. 03 contrato CO1.PCCNTR. 7353918</t>
  </si>
  <si>
    <t>$ 7.087.500</t>
  </si>
  <si>
    <t>Solicitud trámite de pago certificado de cumplimiento Pago No. 4 contrato CO1.PCCNTR.7211982</t>
  </si>
  <si>
    <t>Solicitud trámite de pago certificado de cumplimiento Pago No.03 contrato CO1.PCCNTR.7393666. Sebastián José Martínez Petro.</t>
  </si>
  <si>
    <t>$ 1.940.400</t>
  </si>
  <si>
    <t>Certificado de cumplimiento Pago No. 03 contrato CO1.PCCNTR. 7364800</t>
  </si>
  <si>
    <t>NASHLA NAYELI GONZÁLEZ CLEVES – Anexo Formato Solicitud Gastos De Desplazamiento Al Interior.</t>
  </si>
  <si>
    <t>139293525-139294225</t>
  </si>
  <si>
    <t>$ 11.140.816</t>
  </si>
  <si>
    <t>Certificado de cumplimiento Pago No. 03 contrato CO1.PCCNTR. 7356828</t>
  </si>
  <si>
    <t>$ 8.274.000</t>
  </si>
  <si>
    <t>[I] Certificado de Cumplimiento del Pago No. 3 CO1.PCCNTR.7335693 ELKIN EDUARDO RAMÍREZ PRIETO</t>
  </si>
  <si>
    <t>Olga Victoria González González</t>
  </si>
  <si>
    <t>144045625-144083525</t>
  </si>
  <si>
    <t>$ 14.468.390</t>
  </si>
  <si>
    <t>Solicitud trámite de pago certificado de cumplimiento Pago No.003 contrato CO1.PCCNTR.7351711 LAURA ISABEL GOMEZ TORRES.</t>
  </si>
  <si>
    <t>Solicitud trámite de pago certificado de cumplimiento Pago No.003 contrato CO1.PCCNTR.7403833 JOSE ANTONIO BARAJAS VILLAREAL.</t>
  </si>
  <si>
    <t>Solicitud Pago No.4 contrato CO1.PCCNTR.7212661 Karen Rodriguez</t>
  </si>
  <si>
    <t>Solicitud trámite de pago certificado de cumplimiento Pago No. 03 - Contrato CO1.PCCNTR.7399826 – LAURA MILENA SIERRA RAMÍREZ</t>
  </si>
  <si>
    <t>2025114140000193E </t>
  </si>
  <si>
    <t>Solicitud trámite de pago certificado de cumplimiento Pago No. 04 contrato CO1.PCCNTR.7262212 Gerardo Tejedor Pérez</t>
  </si>
  <si>
    <t>Solicitud trámite de pago certificado de cumplimiento Pago No. 03 - Contrato CO1.PCCNTR.7421801- David Andrés Sánchez Torres</t>
  </si>
  <si>
    <t>Certificado de cumplimiento del Pago No. 04 del contrato CO1.PCCNTR.7259306 a nombre de OLGA ESTELLA RAMÍREZ YAIMA</t>
  </si>
  <si>
    <t>Certificado de Cumplimiento del Pago No. 4 - CO1.PCCNTR.7237232 DAVID ANDRES SERRATO TOBON</t>
  </si>
  <si>
    <t>$ 8.353.800</t>
  </si>
  <si>
    <t>Solicitud trámite de pago - Certificado de cumplimiento Pago No. 4 - Contrato CO1.PCCNTR.7218727 PAOLA ANDREA TORRES CHACON</t>
  </si>
  <si>
    <t>$ 9.585.500</t>
  </si>
  <si>
    <t>Solicitud trámite de pago certificado de cumplimiento Pago No. 04 contrato CO1.PCCNTR.7263732 Kevin Enrique Ramos Hernández</t>
  </si>
  <si>
    <t>Solicitud trámite de pago certificado de cumplimiento Pago No. 03 contrato No. CO1.PCCNTR. 7416085 de FABIAN GARZON GARCIA</t>
  </si>
  <si>
    <t>2024114140100391E </t>
  </si>
  <si>
    <t>Solicitud trámite de pago certificado de cumplimiento Pago No. 03 contrato CO1.PCCNTR.7403891</t>
  </si>
  <si>
    <t>2025114140100187E </t>
  </si>
  <si>
    <t>$ 5.780.000</t>
  </si>
  <si>
    <t>[F] Certificado de Cumplimiento del Pago No. 3 CO1.PCCNTR.7459870 CINDY JULIETH MONTAÑEZ GUILLEN</t>
  </si>
  <si>
    <t>$ 6.226.500</t>
  </si>
  <si>
    <t>Solicitud trámite de pago certificado de cumplimiento Pago No. 01 contrato CO1.PCCNTR. 7720927</t>
  </si>
  <si>
    <t>2025114140000276E </t>
  </si>
  <si>
    <t>VELANDIA TORO MARIA FERNANDA</t>
  </si>
  <si>
    <t>$ 4.678.200</t>
  </si>
  <si>
    <t>[I] Certificado de Cumplimiento del Pago No. 3 CO1.PCCNTR.7412289 MARYENI KARINA ENRÍQUEZ ENRÍQUEZ.</t>
  </si>
  <si>
    <t>$ 11.960.454</t>
  </si>
  <si>
    <t>Solicitud trámite de pago certificado de cumplimiento Pago No.003 contrato CO1.PCCNTR.7419999 DAVID ANDRES MONROY CAMARGO.</t>
  </si>
  <si>
    <t>$ 6.167.200</t>
  </si>
  <si>
    <t>Solicitud trámite de pago certificado de cumplimiento Pago No. 4 contrato CO1.PCCNTR.7292780</t>
  </si>
  <si>
    <t>$ 4.026.000</t>
  </si>
  <si>
    <t>Solicitud trámite de pago certificado de cumplimiento Pago No.003 contrato CO1.PCCNTR.7353401 GERSSON IVAN SANCHEZ ALVAREZ.</t>
  </si>
  <si>
    <t>$ 3.596.500</t>
  </si>
  <si>
    <t>(F) Certificado de Cumplimiento del Pago No. 4 CO1.PCCNTR.7299167 ALISON XIMENA ROZO CRUZ</t>
  </si>
  <si>
    <t>Certificado de Cumplimiento del Pago No. 3 - CO1.PCCNTR.7365324 CARLOS ALBERTO MOLINA BERMUDEZ</t>
  </si>
  <si>
    <t>Solicitud trámite de pago certificado de cumplimiento Pago No. 03 contrato CO1.PCCNTR.7474011 a nombre de Sofía Sánchez Granados</t>
  </si>
  <si>
    <t>2025114140000224E </t>
  </si>
  <si>
    <t>Solicitud Pago No.3 contrato CO1.PCCNTR.7343441 Brajham David Chitiva</t>
  </si>
  <si>
    <t>JOSE DANIEL HURTADO SOLIS</t>
  </si>
  <si>
    <t>Solicitud trámite de pago certificado de cumplimiento Pago No. 4 Contrato CO1.PCCNTR.7233421 INFOMETRIKA</t>
  </si>
  <si>
    <t>$ 9.449.066</t>
  </si>
  <si>
    <t>Solicitud Pago No.3 contrato CO1.PCCNTR.7343405 Sonia Echeverría</t>
  </si>
  <si>
    <t>Solicitud Pago No.3 contrato CO1.PCCNTR.7343412 Willian Villamil</t>
  </si>
  <si>
    <t>Solicitud trámite de pago certificado de cumplimiento Pago No. 01 contrato CO1.PCCNTR. 7687015</t>
  </si>
  <si>
    <t>2025114140000269E </t>
  </si>
  <si>
    <t>ORTEGA OSPINA JUAN DAVID</t>
  </si>
  <si>
    <t>SOLICITUD TRÁMITE DE PAGO - CERTIFICADO DE CUMPLIMIENTO PAGO NO. 1 - CONTRATO CO1.PCCNTR.7763859 JOVITA IDALBA SANABRIA CHARRY</t>
  </si>
  <si>
    <t>2025114140100285E</t>
  </si>
  <si>
    <t>SANABRIA CHARRY JOVITA IDALBA</t>
  </si>
  <si>
    <t>$ 5.950.000</t>
  </si>
  <si>
    <t>Solicitud trámite de pago certificado de cumplimiento Pago No. 003 contrato CO1.PCCNTR.7401119 Luis Alejandro Rodríguez</t>
  </si>
  <si>
    <t>2025114140100189E </t>
  </si>
  <si>
    <t>Solicitud trámite de pago certificado de cumplimiento Pago No. 03 contrato CO1.PCCNTR. 7448734</t>
  </si>
  <si>
    <t>2025114140100211E </t>
  </si>
  <si>
    <t>Solicitud trámite de pago certificado de cumplimiento Pago No. 02 contrato CO1.PCCNTR.7619744</t>
  </si>
  <si>
    <t>Solicitud trámite de pago certificado de cumplimiento Pago No. 03 contrato CO1.PCCNTR.7528137</t>
  </si>
  <si>
    <t>2025114140000237E </t>
  </si>
  <si>
    <t>Solicitud trámite de pago certificado de cumplimiento Pago No. 02 contrato CO1.PCCNTR.7618200</t>
  </si>
  <si>
    <t>2025114140000255E </t>
  </si>
  <si>
    <t>$ 3.200.000</t>
  </si>
  <si>
    <t>Solicitud trámite de pago certificado de cumplimiento Pago No. 03 contrato CO1.PCCNTR.7349615 a nombre de Juan Libardo Avendaño Suarez</t>
  </si>
  <si>
    <t xml:space="preserve">	JAVIER OCTAVIO FIGUEROA MOLANO</t>
  </si>
  <si>
    <t>Solicitud Pago No.3 contrato CO1.PCCNTR.7411663 Cristhian González</t>
  </si>
  <si>
    <t>certificado cumplimiento WILLIAM FERNANDO FONSECA REYES pago 004</t>
  </si>
  <si>
    <t xml:space="preserve">	FREDY ALBERTO JURADO RUBIO</t>
  </si>
  <si>
    <t>$ 7.290.000</t>
  </si>
  <si>
    <t>CERTIFICADO DE CUMPLIMIENTO ASDRUBAL GONZALEZ PAGO 4</t>
  </si>
  <si>
    <t>Solicitud trámite de pago certificado de cumplimiento Pago No. 03 contrato CO1.PCCNTR.7405504</t>
  </si>
  <si>
    <t>2025114140100185E </t>
  </si>
  <si>
    <t>[I] Certificado de Cumplimiento del Pago No. 3 CO1.PCCNTR.7339853 SOFIA DELGADO RAMOS.</t>
  </si>
  <si>
    <t>Solicitud trámite de pago certificado de cumplimiento Pago No. 4 contrato CO1.PCCNTR.7309915 a nombre de Rafael Ángelo Luque González</t>
  </si>
  <si>
    <t>Solicitud trámite de pago certificado de cumplimiento Pago No.04 del contrato CO1.PCCNTR.7269456 a nombre de CARLOS ARTURO ACOSTA SANCHEZ.</t>
  </si>
  <si>
    <t>2025114140100086E </t>
  </si>
  <si>
    <t>Solicitud trámite de pago certificado de cumplimiento Pago No. 3 contrato CO1.PCCNTR.7394519 a nombre de Alejandra Sandoval</t>
  </si>
  <si>
    <t>$ 3.502.800</t>
  </si>
  <si>
    <t>[F] Certificado de Cumplimiento del Pago No. 4 CO1.PCCNTR.7299191 SARAY GISELLA GOMEZ GARNICA</t>
  </si>
  <si>
    <t>[F] Certificado de Cumplimiento del Pago No. 1 CO1.PCCNTR.7783747 ADRIAN CAMILO CORTES VILLADA</t>
  </si>
  <si>
    <t>$ 1.264.900</t>
  </si>
  <si>
    <t>[F] Certificado de Cumplimiento del Pago No. 4 CO1.PCCNTR.7229767 MONICA MARIA RUEDA VEGA</t>
  </si>
  <si>
    <t>Solicitud trámite de pago certificado de cumplimiento Pago No. 04 contrato CO1.PCCNTR. 7294342</t>
  </si>
  <si>
    <t>$ 6.615.000</t>
  </si>
  <si>
    <t>Solicitud trámite de pago certificado de cumplimiento Pago No. 1 contrato No CO1.PCCNTR.7758337 PLUXEE COLOMBIA S.A.S.</t>
  </si>
  <si>
    <t>2025114140000284E </t>
  </si>
  <si>
    <t>$ 2.979.928</t>
  </si>
  <si>
    <t>[I] Certificado de Cumplimiento del Pago No. 4 CO1.PCCNTR.7245419 LAURA FLECHAS MEJIA</t>
  </si>
  <si>
    <t>$ 9.679.950</t>
  </si>
  <si>
    <t>[I] Certificado de Cumplimiento del Pago No. 3 CO1.PCCNTR.7408024 PAULA NATALIA RIVERO.</t>
  </si>
  <si>
    <t>$ 4.227.300</t>
  </si>
  <si>
    <t>[I] Certificado de Cumplimiento del Pago No. 3 CO1.PCCNTR.7344442 DAVID FERNANDO ROMERO QUETE</t>
  </si>
  <si>
    <t>$ 12.911.500</t>
  </si>
  <si>
    <t>[I] Certificado de Cumplimiento del Pago No. 3 CO1.PCCNTR.7425199 DANIEL DE JESÚS RESTREPO SOTO.</t>
  </si>
  <si>
    <t>Solicitud trámite de pago certificado de cumplimiento Pago No. 03 contrato CO1.PCCNTR. 7344961 - RAFAEL ENRIQUE RIOS OSORIO</t>
  </si>
  <si>
    <t>Solicitud trámite de pago certificado de cumplimiento Pago No. 04 contrato CO1.PCCNTR.7212724</t>
  </si>
  <si>
    <t>[F] Certificado de Cumplimiento del Pago No. 3 CO1.PCCNTR.7479804 CRISTIAN ALEJANDRO BLANCO MARTINEZ.</t>
  </si>
  <si>
    <t>2025114140000226E </t>
  </si>
  <si>
    <t>$ 4.819.500</t>
  </si>
  <si>
    <t>Solicitud trámite de pago certificado de cumplimiento Pago No.1, contrato CO1.PCCNTR.7788628</t>
  </si>
  <si>
    <t>WORKMATES MASTERLINE SAS</t>
  </si>
  <si>
    <t>$ 89.422.303</t>
  </si>
  <si>
    <t>[F] Certificado de Cumplimiento del Pago No. 3 CO1.PCCNTR.7367645 ISABEL SIERRA URIBE.</t>
  </si>
  <si>
    <t>Solicitud trámite de pago certificado de cumplimiento Pago No.003 contrato CO1.PCCNTR.7351217 JORGE ESTEBAN CASTRO GUALDRON.</t>
  </si>
  <si>
    <t>Solicitud trámite de pago certificado de cumplimiento Pago No.004 contrato CO1.PCCNTR.7218018 ADRIÁN GUTIÉRREZ HUERTAS.</t>
  </si>
  <si>
    <t>$ 2.464.800</t>
  </si>
  <si>
    <t>SOLICITUD TRÁMITE DE PAGO - CERTIFICADO DE CUMPLIMIENTO PAGO NO. 1 - CONTRATO CO1.PCCNTR.7787162 KAREN TATIANA ROSADA SANCHEZ</t>
  </si>
  <si>
    <t>ROSADA SANCHEZ KAREN TATIANA</t>
  </si>
  <si>
    <t xml:space="preserve">	YENNY CAROLINA BARRERA RODRÍGUEZ</t>
  </si>
  <si>
    <t>Solicitud trámite de pago certificado de cumplimiento Pago No.003 contrato CO1.PCCNTR.7412208 ANGIE TATIANA CASTAÑEDA SANCHEZ.</t>
  </si>
  <si>
    <t>$ 4.546.800</t>
  </si>
  <si>
    <t>Solicitud trámite de pago certificado de cumplimiento Pago No.003 contrato CO1.PCCNTR.7411636 WILMER GUZMAN ESTUPIÑAN.</t>
  </si>
  <si>
    <t>[F] Certificado de Cumplimiento del Pago No. 3 CO1.PCCNTR.7368367 JOHN ALEXANDER SANCHEZ CARDOZO</t>
  </si>
  <si>
    <t>$ 13.500.000</t>
  </si>
  <si>
    <t>[F] Certificado de Cumplimiento del Pago No. 3 CO1.PCCNTR.7478877 JENNY LORENA IBARGUEN VALVERDE</t>
  </si>
  <si>
    <t>Certificado de cumplimiento del Pago No. 4 del contrato CO1.PCCNTR.7263041 a nombre de CESAR HERNAN SOTELO SANCHEZ.</t>
  </si>
  <si>
    <t>Solicitud trámite de pago certificado de cumplimiento Pago No. 01 contrato CO1.PCCNTR. 7749312.</t>
  </si>
  <si>
    <t>2025114140000286E </t>
  </si>
  <si>
    <t>SALGADO CASSIANI AIDEN JOSE</t>
  </si>
  <si>
    <t>$ 4.442.200</t>
  </si>
  <si>
    <t>Solicitud trámite de pago certificado de cumplimiento Pago No.003 contrato CO1.PCCNTR.7539470</t>
  </si>
  <si>
    <t>Solicitud trámite de pago - Certificado de cumplimiento Pago 04 - Contrato CO1.PCCNTR. 7215061 – Alexandra Cortes</t>
  </si>
  <si>
    <t>2025114140100040E </t>
  </si>
  <si>
    <t>SOLICITUD TRÁMITE DE PAGO - CERTIFICADO DE CUMPLIMIENTO PAGO NO. 1 - CONTRATO CO1.PCCNTR.7766137 - DIANA SOFÍA DÍAZ CASTRO</t>
  </si>
  <si>
    <t>DIAZ CASTRO DIANA SOFIA</t>
  </si>
  <si>
    <t>$ 5.066.667</t>
  </si>
  <si>
    <t>Solicitud trámite de pago certificado de cumplimiento Pago No. 03 contrato CO1.PCCNTR. 7366385 - MARIA PAULA CORRALES MENDOZA</t>
  </si>
  <si>
    <t>$ 9.200.000</t>
  </si>
  <si>
    <t>Certificado de Cumplimiento del Pago No. 4 CO1.PCCNTR.7230326 WILLMAN ANDRES RAMIREZ CARRILLO</t>
  </si>
  <si>
    <t>Certificado de Cumplimiento del Pago No. 3 - CO1.PCCNTR.7364386 ALEJANDRA JIMENEZ RODAS</t>
  </si>
  <si>
    <t>Certificado de Cumplimiento del Pago No. 3 - CO1.PCCNTR.7344401 CRISTIAN DAVID RODRIGUEZ REYES</t>
  </si>
  <si>
    <t>Certificado de Cumplimiento del Pago No. 4 - CO1.PCCNTR.7212348 CATALINA CASTILLO VERDUGO</t>
  </si>
  <si>
    <t>Certificado de Cumplimiento del Pago No. 4 - CO1.PCCNTR.7238309 LUIS GABRIEL ZARRATE</t>
  </si>
  <si>
    <t>Certificado para 4 pago del contrato CO1.PCCNTR.7253814 a nombre de Hendrix Suarez</t>
  </si>
  <si>
    <t>Solicitud trámite de pago certificado de cumplimiento Pago No. 04 contrato CO1.PCCNTR.7245575</t>
  </si>
  <si>
    <t>Solicitud trámite de pago - Certificado de cumplimiento Pago No. 4 Contrato CO1.PCCNTR.7322343 - Yuly Tatiana Palacios Vargas</t>
  </si>
  <si>
    <t>2025114140000118E </t>
  </si>
  <si>
    <t>$ 4.161.900</t>
  </si>
  <si>
    <t>Pago 001 Contrato CO1.PCCNTR.7688699 BIZAGI LATAM</t>
  </si>
  <si>
    <t>BIZAGI LATAM S.A.S</t>
  </si>
  <si>
    <t>$ 410.000.000</t>
  </si>
  <si>
    <t>Solicitud trámite de pago certificado de cumplimiento Pago No. 02 contrato CO1.PCCNTR.7641861</t>
  </si>
  <si>
    <t>2025114140000261E </t>
  </si>
  <si>
    <t>[F] Certificado de Cumplimiento del Pago No. 1 CO1.PCCNTR.7212702 KELLY JOHANA GALARZA TORRES</t>
  </si>
  <si>
    <t>GALARZA TORRES KELLY JOHANA</t>
  </si>
  <si>
    <t>$ 2.190.300</t>
  </si>
  <si>
    <t>Solicitud trámite de pago - Certificado de cumplimiento Pago No. 5 - Contrato CO1.PCCNTR. 7315420 cedido a Fernando Amaya</t>
  </si>
  <si>
    <t>$ 4.525.000</t>
  </si>
  <si>
    <t>Certificado de Cumplimiento del Pago No. 4 - CO1.PCCNTR.7207433 ROBERTO JOSE HERNANDEZ DAZA</t>
  </si>
  <si>
    <t>CERTIFICADO DE CUMPLIMIENTO No 4 Dario Santisteban Martinez</t>
  </si>
  <si>
    <t>CERTIFICADO CUMPLIMIENTO PAGO 004 OSCAR IVAN MARQUEZ</t>
  </si>
  <si>
    <t>$ 5.746.000</t>
  </si>
  <si>
    <t>Solicitud trámite de pago certificado de cumplimiento Pago No. 02 contrato CO1.PCCNTR. 7652861</t>
  </si>
  <si>
    <t>2025114140000263E </t>
  </si>
  <si>
    <t>150635625-150637025</t>
  </si>
  <si>
    <t>$ 9.203.395</t>
  </si>
  <si>
    <t>Solicitud trámite de pago certificado de cumplimiento Pago No. 04 contrato CO1.PCCNTR.7242992 a nombre de Edgar Saúl Vargas Soto</t>
  </si>
  <si>
    <t>2025114140000019E </t>
  </si>
  <si>
    <t>Certificado de cumplimiento No. 3 Katherine Rodriguez León entrada con radicado 20251110113782 para clausulado CO1.PCCNTR.7340461</t>
  </si>
  <si>
    <t>Solicitud trámite de pago certificado de cumplimiento Pago No. 4 contrato CO1.PCCNTR. 7294133</t>
  </si>
  <si>
    <t>Solicitud trámite de pago certificado de cumplimiento Pago No. 03 contrato No°CO1.PCCNTR.7349227</t>
  </si>
  <si>
    <t>2025114140100146E </t>
  </si>
  <si>
    <t>Solicitud trámite de pago certificado de cumplimiento Pago No. 3 contrato CO1.PCCNTR.7411105</t>
  </si>
  <si>
    <t>$ 6.200.000</t>
  </si>
  <si>
    <t>Solicitud trámite de pago - Certificado de cumplimiento Pago No. 4 - Contrato CO1.PCCNTR.7238976 JORGE MARIO GUEVARA GONZÁLEZ</t>
  </si>
  <si>
    <t>Solicitud trámite de pago certificado de cumplimiento Pago No. 4 contrato CO1.PCCNTR.7239664 Juan Cáceres Abril</t>
  </si>
  <si>
    <t>Solicitud trámite de pago certificado de cumplimiento Pago No. 3 contrato CO1.PCCNTR.7544936 Juan Avila Abril</t>
  </si>
  <si>
    <t>$ 2.335.200</t>
  </si>
  <si>
    <t>Solicitud trámite de pago certificado de cumplimiento Pago No. 02 contrato No. CO1.PCCNTR.7639923 Lina Adelaida Jiménez Avellaneda</t>
  </si>
  <si>
    <t>$ 10.520.000</t>
  </si>
  <si>
    <t>Solicitud trámite de pago certificado de cumplimiento Pago No. 02 contrato No. Contrato No. CO1.PCCNTR.7639885 de ANGELICA DIAZ ORTIZ</t>
  </si>
  <si>
    <t>$ 12.624.000</t>
  </si>
  <si>
    <t>Solicitud trámite de pago certificado de cumplimiento Pago No. 02 contrato CO1.PCCNTR. 7620010 Stephanie Zamora Abril</t>
  </si>
  <si>
    <t>$ 8.897.000</t>
  </si>
  <si>
    <t>Solicitud trámite de pago certificado de cumplimiento Pago No. 02 contrato CO1.PCCNTR.7585116 - Iván Darío Gómez Lee S.A.S.</t>
  </si>
  <si>
    <t>2025114140000250E </t>
  </si>
  <si>
    <t>Solicitud trámite de pago certificado de cumplimiento Pago No. 01 contrato CO1.PCCNTR.7752573</t>
  </si>
  <si>
    <t>2025114140100287E </t>
  </si>
  <si>
    <t>GOMEZ FLOREZ CARLOS ANDRES</t>
  </si>
  <si>
    <t>$ 3.333.333</t>
  </si>
  <si>
    <t>Solicitud trámite de pago Certificado de Cumplimiento Pago No. 4 – Cuenta 2 de la cesión del contrato CO1.PCCNTR.7196914 – Edwin Andrés García Amaya</t>
  </si>
  <si>
    <t>$ 8.886.363</t>
  </si>
  <si>
    <t>Solicitud trámite de pago certificado de cumplimiento Pago No. 01 del No. Contrato No. CO1.PCCNTR.7426359 de Digital Ware S.A.S.</t>
  </si>
  <si>
    <t>DIGITAL WARE S.A.S.</t>
  </si>
  <si>
    <t>$ 5.051.978</t>
  </si>
  <si>
    <t>Solicitud trámite de pago certificado de cumplimiento Pago No. 01 del contrato No. CO1.PCCNTR.7660521 CAJA DE COMPENSACION FAMILIAR COMPENSAR.</t>
  </si>
  <si>
    <t>2025114140000265E</t>
  </si>
  <si>
    <t>CAJA DE COMPENSACION FAMILIAR COMPENSAR</t>
  </si>
  <si>
    <t>$ 26.574.100</t>
  </si>
  <si>
    <t>Solicitud trámite de pago certificado de cumplimiento Pago No. 6 Orden de compra No 140719 DISTRACOM S.A</t>
  </si>
  <si>
    <t>2025114340100048E </t>
  </si>
  <si>
    <t>$ 144.911</t>
  </si>
  <si>
    <t>Solicitud trámite de pago certificado de cumplimiento Pago No. 7 Orden de compra No 140719 DISTRACOM S.A</t>
  </si>
  <si>
    <t>$ 484.452</t>
  </si>
  <si>
    <t>Solicitud trámite de pago - Certificado de cumplimiento Pago No. 03 - Contrato CO1.PCCNTR.7337347 – Luis Alejandro Rodríguez</t>
  </si>
  <si>
    <t>2025114140100137E </t>
  </si>
  <si>
    <t>$ 5.746.650</t>
  </si>
  <si>
    <t>Solicitud trámite de pago certificado de cumplimiento Pago No. 04 contrato CO1.PCCNTR.7306619</t>
  </si>
  <si>
    <t>2025114140000101E </t>
  </si>
  <si>
    <t>Solicitud trámite de pago certificado de cumplimiento Pago No. 04 contrato CO1.PCCNTR.7236551</t>
  </si>
  <si>
    <t>Solicitud trámite de pago certificado de cumplimiento Pago No. 04 contrato CO1.PCCNTR.7245598 Maria Camila Mejia Abril</t>
  </si>
  <si>
    <t>Solicitud trámite de pago certificado de cumplimiento Pago No.9, contrato ORDEN DE COMPRA 132180</t>
  </si>
  <si>
    <t>$ 19.723.426</t>
  </si>
  <si>
    <t>Solicitud trámite de pago certificado de cumplimiento del Único Pago Orden de Compra 145618 de 2025. UT BGH 2024</t>
  </si>
  <si>
    <t>2025114340100303E</t>
  </si>
  <si>
    <t>UNIÓN TEMPORAL BGH 2024</t>
  </si>
  <si>
    <t>$ 4.527.972</t>
  </si>
  <si>
    <t>Solicitud trámite de pago certificado de cumplimiento Pago No. 04 contrato CO1.PCCNTR.7307572 Juan Camilo Sánchez</t>
  </si>
  <si>
    <t>Solicitud trámite de pago certificado de cumplimiento Pago No. 04 contrato CO1.PCCNTR.7314668</t>
  </si>
  <si>
    <t>Solicitud trámite de pago certificado de cumplimiento Pago No. 04 contrato CO1.PCCNTR.7235879 -JUAN DAVID ARBELAEZ GALVEZ</t>
  </si>
  <si>
    <t xml:space="preserve">2025114140000053E
</t>
  </si>
  <si>
    <t>Solicitud trámite de pago certificado de cumplimiento Pago No. 03 contrato CO1.PCCNTR.7428845 -JANNLUCK CANOSA CANTOR</t>
  </si>
  <si>
    <t>Certificado de cumplimiento No.4 - Elkin Rojas</t>
  </si>
  <si>
    <t>Memorando tramite de pago 2_ Juan Sebastian</t>
  </si>
  <si>
    <t>Memorando tramite de pago 3_ Ale</t>
  </si>
  <si>
    <t>Solicitud trámite de pago certificado de cumplimiento Pago No. 03 contrato CO1.PCCNTR. 7484772</t>
  </si>
  <si>
    <t>2025114140000228E </t>
  </si>
  <si>
    <t>$ 6.250.000</t>
  </si>
  <si>
    <t>Solicitud trámite de pago certificado de cumplimiento Pago No. 004 contrato CO1.PCCNTR. 7209574 Diana Carolina Armenta Celis</t>
  </si>
  <si>
    <t>$ 1.600.000</t>
  </si>
  <si>
    <t>Solicitud trámite de pago certificado de cumplimiento Pago No. 04 contrato CO1.PCCNTR.7312242 Lina Maritza Castellanos</t>
  </si>
  <si>
    <t>2025114140100108E </t>
  </si>
  <si>
    <t>Solicitud trámite de pago certificado de cumplimiento Pago No. 016 contrato CO1.PCCNTR. 5735887 Fiduciaria Bancolombia S.A.</t>
  </si>
  <si>
    <t>$ 5.590.085</t>
  </si>
  <si>
    <t>Solicitud trámite de pago certificado de cumplimiento Pago No. 03 contrato CO1.PCCNTR.7486804</t>
  </si>
  <si>
    <t>2025114140000229E </t>
  </si>
  <si>
    <t>Solicitud trámite de pago certificado de cumplimiento Pago No. 4 contrato CO1.PCCNTR.7328240</t>
  </si>
  <si>
    <t>Solicitud trámite de pago certificado de cumplimiento Pago No. 03 contrato CO1.PCCNTR. 7448769</t>
  </si>
  <si>
    <t>$ 7.366.000</t>
  </si>
  <si>
    <t>Solicitud trámite de pago certificado de cumplimiento Pago No. 03 Final del contrato CO1.PCCNTR.7215087 del profesional SERGIO FERNANDO SÁNCHEZ DELGADO</t>
  </si>
  <si>
    <t>2025114140000016E </t>
  </si>
  <si>
    <t>$ 5.200.000</t>
  </si>
  <si>
    <t>5 pago ETB internet dedicado supervisor Alexander Perez</t>
  </si>
  <si>
    <t>$ 2.371.120</t>
  </si>
  <si>
    <t>Solicitud trámite de pago certificado de cumplimiento Pago No.9 CO1.PCCNTR.6572443</t>
  </si>
  <si>
    <t>2024114140000341E </t>
  </si>
  <si>
    <t>$ 4.558.480</t>
  </si>
  <si>
    <t>Solicitud trámite de pago certificado de cumplimiento Pago No. 8 Orden de compra No 140719 DISTRACOM S.A</t>
  </si>
  <si>
    <t>$ 457.779</t>
  </si>
  <si>
    <t>Solicitud trámite de pago - Certificado de cumplimiento Pago No. 1 _Contrato interadministrativo No. CO1.PCCNTR.7698279 _ IMPRENTA</t>
  </si>
  <si>
    <t>$ 1.015.500</t>
  </si>
  <si>
    <t>Solicitud trámite de pago certificado de cumplimiento Pago No. 004 contrato CO1.PCCNTR. 7210815 - Norma Constanza Tirado Roncancio</t>
  </si>
  <si>
    <t>2025114140000030E </t>
  </si>
  <si>
    <t>Solicitud trámite de pago certificado de cumplimiento Pago No.7, contrato CO1.PCCNTR.7126910</t>
  </si>
  <si>
    <t>$ 19.996.102</t>
  </si>
  <si>
    <t>Solicitud trámite de pago certificado de cumplimiento Pago No.8, contrato CO1.PCCNTR.7126910</t>
  </si>
  <si>
    <t>$ 26.748.760</t>
  </si>
  <si>
    <t>Valor Neto</t>
  </si>
  <si>
    <t>junio</t>
  </si>
  <si>
    <t>Solicitud trámite de pago certificado de cumplimiento Pago No. 01 contrato CO1.PCCNTR.7782919 - Edison Andrés Toledo Norato</t>
  </si>
  <si>
    <t>TOLEDO NORATO EDISON ANDRES</t>
  </si>
  <si>
    <t>$ 985.635,00</t>
  </si>
  <si>
    <t>Solicitud trámite de pago certificado de cumplimiento Pago No. 1 contrato CO1.PCCNTR.7783088</t>
  </si>
  <si>
    <t>PEÑA ROMERO EDILBERTO</t>
  </si>
  <si>
    <t>$ 1.950.000,00</t>
  </si>
  <si>
    <t>Solicitud trámite de pago certificado de cumplimiento Pago No. 05 contrato CO1.PCCNTR.7263732 Kevin Enrique Ramos Hernández</t>
  </si>
  <si>
    <t>$ 5.930.000,00</t>
  </si>
  <si>
    <t>Solicitud trámite de pago certificado de cumplimiento Pago No. 005 - Contrato CO1.PCCNTR.7311815</t>
  </si>
  <si>
    <t>$ 4.500.000,00</t>
  </si>
  <si>
    <t>Solicitud trámite de pago certificado de cumplimiento Pago No. 04 contrato CO1.PCCNTR.7474011 a nombre de Sofía Sánchez Granados</t>
  </si>
  <si>
    <t>$ 6.500.000,00</t>
  </si>
  <si>
    <t>Solicitud trámite de pago certificado de cumplimiento Pago No. 005 - Contrato CO1.PCCNTR.7253311</t>
  </si>
  <si>
    <t>certificado de cumplimiento Pago No. 05 contrato CO1.PCCNTR. 7268541</t>
  </si>
  <si>
    <t>$ 3.299.450,00</t>
  </si>
  <si>
    <t>Solicitud trámite de pago certificado de cumplimiento Pago No. 4 contrato CO1.PCCNTR.7402312 MARIA JOSE PATIÑO GUTIERREZ</t>
  </si>
  <si>
    <t>$ 3.794.700,00</t>
  </si>
  <si>
    <t>Solicitud trámite de pago - Certificado de cumplimiento Pago No. 4 - Contrato CO1.PCCNTR.7410256- Camilo Andres Tovar Perilla</t>
  </si>
  <si>
    <t>2025114140000204E </t>
  </si>
  <si>
    <t>$ 11.611.300,00</t>
  </si>
  <si>
    <t>Solicitud trámite de pago certificado de cumplimiento Pago No. 004 Contrato CO1.PCCNTR.7401123</t>
  </si>
  <si>
    <t>$ 4.000.000,00</t>
  </si>
  <si>
    <t>Solicitud trámite de pago certificado de cumplimiento Pago No. 003 Contrato CO1.PCCNTR.7347456</t>
  </si>
  <si>
    <t>2025114140100143E </t>
  </si>
  <si>
    <t>$ 3.630.000,00</t>
  </si>
  <si>
    <t>Solicitud trámite de pago certificado de cumplimiento Pago No. 05 contrato CO1.PCCNTR.7217580</t>
  </si>
  <si>
    <t>$ 8.000.000,00</t>
  </si>
  <si>
    <t>Solicitud trámite de pago certificado de cumplimiento Pago No.004 contrato CO1.PCCNTR.7539470</t>
  </si>
  <si>
    <t>2025114140100245E </t>
  </si>
  <si>
    <t>$ 8.500.000,00</t>
  </si>
  <si>
    <t>Solicitud trámite de pago certificado de cumplimiento Pago No. 04 contrato CO1.PCCNTR.7377761 Leidy Vera Mayo</t>
  </si>
  <si>
    <t>$ 3.450.000,00</t>
  </si>
  <si>
    <t>Solicitud trámite de pago certificado de cumplimiento Pago No. 05 contrato CO1.PCCNTR.7245598 Maria camila mejia Mayo</t>
  </si>
  <si>
    <t>$ 4.227.300,00</t>
  </si>
  <si>
    <t>Solicitud trámite de pago certificado de cumplimiento Pago No. 5 contrato CO1.PCCNTR.7239664 Juan Cáceres</t>
  </si>
  <si>
    <t>$ 7.000.000,00</t>
  </si>
  <si>
    <t>Solicitud trámite de pago certificado de cumplimiento Pago No. 5 contrato No.CO1.PCCNTR.7317033 Laura Berrio Mayo</t>
  </si>
  <si>
    <t>$ 6.000.000,00</t>
  </si>
  <si>
    <t>Solicitud trámite de pago certificado de cumplimiento Pago No. 4 contrato No. CO1.PCCNTR.7362555 Natalia Vargas Mayo</t>
  </si>
  <si>
    <t>Solicitud trámite de pago certificado de cumplimiento Pago No. 4 contrato CO1.PCCNTR.7421816 Johana Galindo</t>
  </si>
  <si>
    <t>$ 5.044.200,00</t>
  </si>
  <si>
    <t>Solicitud trámite de pago certificado de cumplimiento Pago No. 4 contrato CO1.PCCNTR. 7477901</t>
  </si>
  <si>
    <t>179558825-179581725</t>
  </si>
  <si>
    <t>$ 8.890.148,00</t>
  </si>
  <si>
    <t>Solicitud trámite de pago certificado de cumplimiento Pago No. 4 contrato CO1.PCCNTR. 7341034</t>
  </si>
  <si>
    <t>$ 8.997.450,00</t>
  </si>
  <si>
    <t>Solicitud trámite de pago certificado de cumplimiento Pago No. 5 Contrato CO1.PCCNTR.7215006 JENNYFER FERNANDEZ</t>
  </si>
  <si>
    <t>$ 11.000.000,00</t>
  </si>
  <si>
    <t>Solicitud trámite de pago certificado de cumplimiento. Pago No. 04 Contrato CO1.PCCNTR.7420515.</t>
  </si>
  <si>
    <t>$ 6.346.000,00</t>
  </si>
  <si>
    <t>Solicitud trámite de pago certificado de cumplimiento Pago No. 04 contrato CO1.PCCNTR.7377021</t>
  </si>
  <si>
    <t>GONZALEZ GUAÑARITA ALEJANDRA</t>
  </si>
  <si>
    <t>$ 7.866.500,00</t>
  </si>
  <si>
    <t>Solicitud trámite de pago certificado de cumplimiento Pago No. 005 contrato CO1.PCCNTR.7213727</t>
  </si>
  <si>
    <t>Eric Mauricio Vargas Forero</t>
  </si>
  <si>
    <t>$ 7.280.000,00</t>
  </si>
  <si>
    <t>Solicitud trámite de pago certificado de cumplimiento Pago No. 004 - Contrato CO1.PCCNTR.7401119</t>
  </si>
  <si>
    <t>$ 7.100.000,00</t>
  </si>
  <si>
    <t>Solicitud trámite de pago certificado de cumplimiento. Pago No. 04 Contrato CO1.PCCNTR.7411325. Cristian Fonseca</t>
  </si>
  <si>
    <t>$ 7.296.600,00</t>
  </si>
  <si>
    <t>Solicitud trámite de pago certificado de cumplimiento Pago No.005 contrato CO1.PCCNTR.7238053 Brandon Stid Huaca Cuellar.</t>
  </si>
  <si>
    <t>$ 4.332.600,00</t>
  </si>
  <si>
    <t>Solicitud trámite de pago certificado de cumplimiento Pago No. 05 contrato CO1.PCCNTR.7238896</t>
  </si>
  <si>
    <t>F-Solicitud trámite de pago certificado de cumplimiento Pago No. 5 contrato CO1.PCCNTR.7208871 Adriana Katherine Munar Aponte</t>
  </si>
  <si>
    <t>$ 9.500.000,00</t>
  </si>
  <si>
    <t>SOLICITUD DE PAGO N°4 YEIMY TATIANA ACOSTA GUZMAN</t>
  </si>
  <si>
    <t>2025114140100157E </t>
  </si>
  <si>
    <t>$ 3.285.450,00</t>
  </si>
  <si>
    <t>Solicitud trámite de pago certificado de cumplimiento Pago No. 5 contrato CO1.PCCNTR.7270418 Gildardo Andres Vargas Acuña</t>
  </si>
  <si>
    <t>$ 7.500.000,00</t>
  </si>
  <si>
    <t>Solicitud trámite de pago certificado de cumplimiento Pago No. 005 contrato CO1.PCCNTR. 7208227 - JUAN DAVID BELTRÁN</t>
  </si>
  <si>
    <t>Solicitud trámite de pago certificado de cumplimiento Pago No. 04 contrato CO1.PCCNTR. 7518134 - SONIA PATRICIA ANGEL HUERTAS</t>
  </si>
  <si>
    <t>Solicitud trámite de pago certificado de cumplimiento Pago No. 04 contrato CO1.PCCNTR. 7463335 - JUAN DAVID PALACIOS</t>
  </si>
  <si>
    <t>$ 3.822.979,00</t>
  </si>
  <si>
    <t>Solicitud trámite de pago certificado de cumplimiento Pago No. 05 contrato CO1.PCCNTR. 7299247 - CATALINA LONDOÑO</t>
  </si>
  <si>
    <t>2025114140100103E </t>
  </si>
  <si>
    <t>$ 7.400.000,00</t>
  </si>
  <si>
    <t>Solicitud trámite de pago certificado de cumplimiento Pago No. 04 contrato CO1.PCCNTR. 7375238 - ANDRES FELIPE DUARTE RODRIGUEZ</t>
  </si>
  <si>
    <t>2025114140100174E </t>
  </si>
  <si>
    <t>Solicitud trámite de pago certificado de cumplimiento Pago No. 04 contrato CO1.PCCNTR.7528137 - JHON EDISON ENRÍQUEZ OCHOA</t>
  </si>
  <si>
    <t>181739425-181740525</t>
  </si>
  <si>
    <t>$ 7.826.125,00</t>
  </si>
  <si>
    <t>Solicitud trámite de pago certificado de cumplimiento Pago No. 03 contrato CO1.PCCNTR.7618200 - ERICK ALEXANDER FERNANDEZ</t>
  </si>
  <si>
    <t>$ 3.200.000,00</t>
  </si>
  <si>
    <t>[F] Certificado de Cumplimiento del Pago No. 5 CO1.PCCNTR.7209522 BRAYAN JAVIER BAUTISTA PENAGOS</t>
  </si>
  <si>
    <t>Solicitud trámite de pago certificado de cumplimiento Pago No. 03 contrato CO1.PCCNTR. 7652861 - MAYRA ALEJANDRA ALLADO</t>
  </si>
  <si>
    <t>180368225-181577825</t>
  </si>
  <si>
    <t>$ 9.203.395,00</t>
  </si>
  <si>
    <t>Solicitud trámite de pago certificado de cumplimiento Pago No. 02 contrato CO1.PCCNTR.7752785 - NATALI CARMONA GIRALDO.</t>
  </si>
  <si>
    <t>$ 4.590.600,00</t>
  </si>
  <si>
    <t>Solicitud trámite de pago certificado de cumplimiento Pago No. 5 contrato CO1.PCCNTR.7310313</t>
  </si>
  <si>
    <t>$ 5.473.000,00</t>
  </si>
  <si>
    <t>Solicitud trámite de pago certificado de cumplimiento Pago No. 4 contrato No. CO1.PCCNTR.7463637</t>
  </si>
  <si>
    <t>2025114140000217E </t>
  </si>
  <si>
    <t>Solicitud trámite de pago certificado de cumplimiento Pago No. 5 contrato PCCNTR.7305544</t>
  </si>
  <si>
    <t>2025114140100102E </t>
  </si>
  <si>
    <t>$ 7.200.000,00</t>
  </si>
  <si>
    <t>Solicitud trámite de pago certificado de cumplimiento Pago No. 4 contrato CO1.PCCNTR. 7367652</t>
  </si>
  <si>
    <t>2025114140100167E </t>
  </si>
  <si>
    <t>Solicitud trámite de pago certificado de cumplimiento Pago No. 4 contrato CO1.PCCNTR.7362568</t>
  </si>
  <si>
    <t>2025114140100160E </t>
  </si>
  <si>
    <t>179513525-179515925</t>
  </si>
  <si>
    <t>$ 3.900.742,00</t>
  </si>
  <si>
    <t>Solicitud trámite de pago certificado de cumplimiento Pago No. 4 Contrato CO1.PCCNTR.7396905 Jessica Murcia</t>
  </si>
  <si>
    <t>Solicitud trámite de pago certificado de cumplimiento Pago No. 05 contrato CO1.PCCNTR.7211854 de la profesional Angie Carolina Piñeros Guzmán</t>
  </si>
  <si>
    <t>$ 9.000.000,00</t>
  </si>
  <si>
    <t>Solicitud trámite de pago certificado de cumplimiento Pago No.005 contrato CO1.PCCNTR.7212893 Diana Marcela Páramo Montoya.</t>
  </si>
  <si>
    <t>$ 8.911.500,00</t>
  </si>
  <si>
    <t>[F] Certificado de Cumplimiento del Pago No. 4 CO1.PCCNTR.7368867 JAVIER EDUARDO CHACON SUAREZ</t>
  </si>
  <si>
    <t>Solicitud trámite de pago certificado de cumplimiento Pago No. 5 contrato CO1.PCCNTR.7213082</t>
  </si>
  <si>
    <t>$ 10.000.000,00</t>
  </si>
  <si>
    <t>Solicitud trámite de pago certificado de cumplimiento Pago No. 05 contrato CO1.PCCNTR.7262212 Gerardo Tejedor Pérez</t>
  </si>
  <si>
    <t>$ 7.016.000,00</t>
  </si>
  <si>
    <t>Certificado de cumplimiento pago 2 CO1.PCCNTR.7703844</t>
  </si>
  <si>
    <t>Solicitud trámite de pago certificado de cumplimiento Pago No. 05 contrato CO1.PCCNTR.7215046 de 2025. Mayo 2025 David Leonardo Peña González.</t>
  </si>
  <si>
    <t>$ 8.569.000,00</t>
  </si>
  <si>
    <t>Solicitud trámite de pago certificado de cumplimiento Pago No. 05 contrato CO1.PCCNTR.7312242</t>
  </si>
  <si>
    <t>$ 10.418.100,00</t>
  </si>
  <si>
    <t>Solicitud trámite de pago certificado de cumplimiento Pago No. 03 contrato CO1.PCCNTR.7598237</t>
  </si>
  <si>
    <t>[I] Certificado de Cumplimiento del Pago No. 5 CO1.PCCNTR.7237610 BOLIVAR ANDRES MONROY MATALLANA</t>
  </si>
  <si>
    <t>[I] Certificado de Cumplimiento del Pago No. 5 CO1.PCCNTR.7236878 VERONICA ORTIZ CERON</t>
  </si>
  <si>
    <t>[I] Certificado de Cumplimiento del Pago No. 4 CO1.PCCNTR.7335693 ELKIN EDUARDO RAMÍREZ PRIETO</t>
  </si>
  <si>
    <t>181745125-181746725</t>
  </si>
  <si>
    <t>$ 13.442.756,00</t>
  </si>
  <si>
    <t>Solicitud trámite de pago certificado de cumplimiento Pago No.5 contrato CO1.PCCNTR.7254981 Karen Tatiana Girón</t>
  </si>
  <si>
    <t>Solicitud trámite de pago - Certificado de cumplimiento Pago No. 6 - Contrato CO1.PCCNTR. 7315420 cedido a Fernando Amaya</t>
  </si>
  <si>
    <t>$ 4.525.000,00</t>
  </si>
  <si>
    <t>Certificado de Cumplimiento del Pago No. 4 - CO1.PCCNTR.7365324 CARLOS ALBERTO MOLINA BERMUDEZ</t>
  </si>
  <si>
    <t>Solicitud trámite de pago- certificado de cumplimiento. Pago No. 005 contrato CO1.PCCNTR.7204712- Milena Del Pilar Herrera de la Hoz.</t>
  </si>
  <si>
    <t>Solicitud trámite de pago certificado de cumplimiento Pago No. 05 contrato CO1.PCCNTR.7245575</t>
  </si>
  <si>
    <t>Solicitud trámite de pago certificado de cumplimiento Pago No. 04 - Contrato CO1.PCCNTR.7399826 – LAURA MILENA SIERRA RAMÍREZ</t>
  </si>
  <si>
    <t>Solicitud trámite de pago- certificado de cumplimiento. Pago No. 005 contrato CO1.PCCNT.7208702- MARÍA CAMILA HERRERA CHARRY.</t>
  </si>
  <si>
    <t>Solicitud trámite de pago certificado de cumplimiento Pago No. 05 Contrato CO1.PCCNTR.7236456 Paola Andrea García Rueda</t>
  </si>
  <si>
    <t>2025114140000054E </t>
  </si>
  <si>
    <t>$ 8.369.700,00</t>
  </si>
  <si>
    <t>Solicitud trámite de pago certificado de cumplimiento Pago No.4 contrato CO1.PCCNTR.7423828 Nasly Mabel López</t>
  </si>
  <si>
    <t>$ 5.500.000,00</t>
  </si>
  <si>
    <t>Certificado de Cumplimiento del Pago No. 5 CO1.PCCNTR.7230326 WILLMAN ANDRES RAMIREZ CARRILLO</t>
  </si>
  <si>
    <t>$ 7.942.200,00</t>
  </si>
  <si>
    <t>Certificado de Cumplimiento del Pago No. 5 - CO1.PCCNTR.7207433 ROBERTO JOSE HERNANDEZ DAZA</t>
  </si>
  <si>
    <t>certificado de cumplimiento Pago No. 5 contratoCO1.PCCNTR.7214050 DARIO SANTISTEBAN MARTINEZ</t>
  </si>
  <si>
    <t>$ 7.366.800,00</t>
  </si>
  <si>
    <t>Solicitud trámite de pago certificado de cumplimiento Pago No. 4 contrato CO1.PCCNTR.7462945</t>
  </si>
  <si>
    <t>Solicitud trámite de pago - Certificado de cumplimiento Pago No. 4 Contrato CO1.PCCNTR.7448707</t>
  </si>
  <si>
    <t>$ 9.677.850,00</t>
  </si>
  <si>
    <t>Solicitud trámite de pago certificado de cumplimiento Pago No. 4 contrato CO1.PCCNTR.7544936 Juan Avila_ Mayo</t>
  </si>
  <si>
    <t>$ 2.335.200,00</t>
  </si>
  <si>
    <t>Solicitud trámite de pago certificado de cumplimiento Pago No. 5 contrato No. CO1.PCCNTR.7322955</t>
  </si>
  <si>
    <t>2025114140000122E </t>
  </si>
  <si>
    <t>$ 5.159.000,00</t>
  </si>
  <si>
    <t>Solicitud trámite de pago certificado de cumplimiento Pago No. 4 contrato CO1.PCCNTR.7348886</t>
  </si>
  <si>
    <t>2025114140000135E </t>
  </si>
  <si>
    <t>188097425-188097925</t>
  </si>
  <si>
    <t>$ 6.231.546,00</t>
  </si>
  <si>
    <t>Certificado de Cumplimiento del Pago No. 4 - CO1.PCCNTR.7364386 ALEJANDRA JIMENEZ RODAS</t>
  </si>
  <si>
    <t>[F] Certificado de Cumplimiento del Pago No. 5 CO1.PCCNTR.7299749 MIGUEL VIVEROS MIRA</t>
  </si>
  <si>
    <t>$ 4.374.300,00</t>
  </si>
  <si>
    <t>Solicitud trámite de pago certificado de cumplimiento Pago No. 3 contrato CO1.PCCNTR.7585353</t>
  </si>
  <si>
    <t>2025114140100249E </t>
  </si>
  <si>
    <t>$ 7.875.000,00</t>
  </si>
  <si>
    <t>Solicitud trámite de pago certificado de cumplimiento Pago No. 02 contrato CO1.PCCNTR. 7720927 MARIA FERNANDA VELANDIA</t>
  </si>
  <si>
    <t>$ 5.198.000,00</t>
  </si>
  <si>
    <t>Solicitud trámite de pago certificado de cumplimiento Pago No. 02 contrato CO1.PCCNTR.7752573</t>
  </si>
  <si>
    <t>$ 5.000.000,00</t>
  </si>
  <si>
    <t>Solicitud trámite de pago certificado de cumplimiento Pago No. 005 contrato CO1.PCCNTR. 7210815 - Norma Constanza Tirado Roncancio</t>
  </si>
  <si>
    <t>Solicitud trámite de pago certificado de cumplimiento Pago No. 05 contrato CO1.PCCNTR.7236551 - CHRISTIAN CAMILO VARGAS</t>
  </si>
  <si>
    <t>Solicitud trámite de pago certificado de cumplimiento Pago No. 04 contrato CO1.PCCNTR.7486804 - Manuel Santiago Sierra Ochoa.</t>
  </si>
  <si>
    <t>$ 6.300.000,00</t>
  </si>
  <si>
    <t>CERTIFICADO DE CUMPLIMIENTO ASDRUBAL GONZALEZ PAGO 5</t>
  </si>
  <si>
    <t>Solicitud trámite de pago certificado de cumplimiento Pago No. 05 contrato No. CO1.PCCNTR.7233044 a nombre de CRISTIAN ELIECER BEDOYA GONZALEZ</t>
  </si>
  <si>
    <t>$ 5.429.062,00</t>
  </si>
  <si>
    <t>Solicitud trámite de pago certificado de cumplimiento Pago No. 04 contrato No CO1.PCCNTR.7504677 de BIBIANA CALDERON SIERRA</t>
  </si>
  <si>
    <t>$ 5.042.667,00</t>
  </si>
  <si>
    <t>CERTIFICADO DE CUMPLIMIENTO YEIMY BUITRAGO PAGO 5</t>
  </si>
  <si>
    <t>2025114140000109E </t>
  </si>
  <si>
    <t>[I] Certificado de Cumplimiento del Pago No. 5 CO1.PCCNTR.7236808 ERIKA JOHANNA FLÓREZ CHALA</t>
  </si>
  <si>
    <t>$ 13.213.760,00</t>
  </si>
  <si>
    <t>Solicitud trámite de pago certificado de cumplimiento Pago No. 5 contrato CO1.PCCNTR.7255926.</t>
  </si>
  <si>
    <t>2025114140100079E </t>
  </si>
  <si>
    <t>Solicitud trámite de pago - certificado de cumplimiento Pago No. 4 Contrato No. CO1.PCCNTR.7526919 LUIS GIOVANNY PEÑA SOLANO</t>
  </si>
  <si>
    <t>Solicitud trámite de pago certificado de cumplimiento Pago No. 05 contrato CO1.PCCNTR.7324781 Julián Esteban Santamaria Aragón</t>
  </si>
  <si>
    <t>2025114140000125E </t>
  </si>
  <si>
    <t>[F] Certificado de Cumplimiento del Pago No. 4 CO1.PCCNTR.7397082 JUAN DAVID GONZALEZ ARENAS</t>
  </si>
  <si>
    <t>$ 3.630.900,00</t>
  </si>
  <si>
    <t>Solicitud trámite de pago certificado de cumplimiento Pago No. 05 contrato CO1.PCCNTR.7212724</t>
  </si>
  <si>
    <t>[F] Certificado de Cumplimiento del Pago No. 2 CO1.PCCNTR.7212702 KELLY JOHANA GALARZA TORRES</t>
  </si>
  <si>
    <t>[F] Certificado de Cumplimiento del Pago No. 4 CO1.PCCNTR.7459870 CINDY JULIETH MONTAÑEZ GUILLEN</t>
  </si>
  <si>
    <t>$ 6.226.500,00</t>
  </si>
  <si>
    <t>Solicitud trámite de pago certificado de cumplimiento Pago No. 05 contrato CO1.PCCNTR.7333126 - NICOLAS FERNANDO BELTRAN ALEMAN.</t>
  </si>
  <si>
    <t>Solicitud trámite de pago certificado de cumplimiento Pago No 5 contrato CO1.PCCNTR.7240157a nombre de Nubia Estupiñan</t>
  </si>
  <si>
    <t>$ 6.726.760,00</t>
  </si>
  <si>
    <t>Solicitud trámite de pago certificado de cumplimiento Pago No.004 contrato CO1.PCCNTR.7367128 FELIPE RODRÍGUEZ TUTA</t>
  </si>
  <si>
    <t>$ 3.758.500,00</t>
  </si>
  <si>
    <t>Certificado de cumplimiento Pago No. 5 contrato CO1.PCCNTR. 7328226</t>
  </si>
  <si>
    <t>MONICA JULIETH OVALLE REY</t>
  </si>
  <si>
    <t>Solicitud trámite de pago certificado de cumplimiento Pago No. 4 contrato CO1.PCCNTR. 7339270</t>
  </si>
  <si>
    <t>Solicitud trámite de pago - Certificado de cumplimiento Pago No. 5 Contrato CO1.PCCNTR.7250418</t>
  </si>
  <si>
    <t>Solicitud trámite de pago certificado de cumplimiento Pago No. 04 contrato CO1.PCCNTR.7428845 -JANNLUCK CANOSA CANTOR</t>
  </si>
  <si>
    <t>Solicitud trámite de pago certificado de cumplimiento Pago No. 04 contrato CO1.PCCNTR. 7366385 - MARIA PAULA CORRALES MENDOZA</t>
  </si>
  <si>
    <t>$ 9.200.000,00</t>
  </si>
  <si>
    <t>Solicitud trámite de pago certificado de cumplimiento Pago No. 05 contrato CO1.PCCNTR. 7294342</t>
  </si>
  <si>
    <t>$ 6.615.000,00</t>
  </si>
  <si>
    <t>Solicitud trámite de pago certificado de cumplimiento Pago No. 005 contrato CO1.PCCNTR.7230550</t>
  </si>
  <si>
    <t>Solicitud trámite de pago certificado de cumplimiento Pago No.5 contrato CO1.PCCNTR.7231698 del profesional Jovana Negrete Flores</t>
  </si>
  <si>
    <t>$ 7.067.762,00</t>
  </si>
  <si>
    <t>Quinto pago Fernando Linares supervisor de Alexander Perez r</t>
  </si>
  <si>
    <t>$ 10.575.000,00</t>
  </si>
  <si>
    <t>Solicitud trámite de pago certificado de cumplimiento Pago No. 005 contrato No. CO1.PCCNTR.7203693</t>
  </si>
  <si>
    <t>Solicitud trámite de pago - Certificado de cumplimiento Pago 05 - Contrato CO1.PCCNTR. 7215061 – Alexandra Cortes</t>
  </si>
  <si>
    <t>Certificado de cumplimiento Pago No. 05 contrato CO1.PCCNTR. 7316296</t>
  </si>
  <si>
    <t>$ 6.240.000,00</t>
  </si>
  <si>
    <t>Solicitud trámite de pago certificado de cumplimiento Pago No. 05 contrato CO1.PCCNTR. 7323805 Juan Pablo Cifuentes Niño</t>
  </si>
  <si>
    <t>Solicitud trámite de pago certificado de cumplimiento Pago No. 04 contrato CO1.PCCNTR. 7340328</t>
  </si>
  <si>
    <t>JOHN ALEJANDRO BARRIOS ÁVILA</t>
  </si>
  <si>
    <t>Solicitud trámite de pago certificado de cumplimiento Pago No. 04 contrato CO1.PCCNTR.7419968</t>
  </si>
  <si>
    <t>Solicitud trámite de pago certificado de cumplimiento Pago No. 04 -Contrato CO1.PCCNTR.7411853 – Francisco de Paula Toro Zea</t>
  </si>
  <si>
    <t>Certificado de Cumplimiento del Pago No. 4 - CO1.PCCNTR.7423185 MARIA XIMENA CACERES PRADO</t>
  </si>
  <si>
    <t>$ 8.650.000,00</t>
  </si>
  <si>
    <t>Certificado de Cumplimiento del Pago No. 5 - CO1.PCCNTR.7230359 JUAN JOSE CASTAÑO GUTIERREZ</t>
  </si>
  <si>
    <t>Certificado de Cumplimiento del Pago No. 5 - CO1.PCCNTR.7300256 ANGELA PATRICIA TORRES LUNA</t>
  </si>
  <si>
    <t>$ 6.663.300,00</t>
  </si>
  <si>
    <t>Certificado de Cumplimiento del Pago No. 5 - CO1.PCCNTR.7212382 ANDRES STEVEN MORALES RODRÍGUEZ</t>
  </si>
  <si>
    <t>Certificado de Cumplimiento del Pago No. 4 - CO1.PCCNTR.7478008 ANDREA LACHE MUÑOZ</t>
  </si>
  <si>
    <t>Solicitud trámite de pago certificado de cumplimiento Pago No. 05 contrato CO1.PCCNTR.7245713 – NASHLA NAYELI GONZÁLEZ CLEVES</t>
  </si>
  <si>
    <t>Solicitud trámite de pago certificado de cumplimiento Pago No. 004 contrato CO1.PCCNTR.7362534</t>
  </si>
  <si>
    <t>2025114140100231E </t>
  </si>
  <si>
    <t>$ 13.000.000,00</t>
  </si>
  <si>
    <t>Solicitud trámite de pago certificado de cumplimiento Pago No. 04 contrato CO1.PCCNTR. 7528061 CAMILO ENRIQUE ACHURY RODRIGUEZ</t>
  </si>
  <si>
    <t>Solicitud trámite de pago certificado de cumplimiento Pago No. 04 contrato CO1.PCCNTR.7403891</t>
  </si>
  <si>
    <t>$ 5.780.000,00</t>
  </si>
  <si>
    <t>Solicitud trámite de pago certificado de cumplimiento Pago No. 004 - Contrato CO1.PCCNTR.7549475</t>
  </si>
  <si>
    <t>[F] Certificado de Cumplimiento del Pago No. 2 CO1.PCCNTR.7783747 ADRIAN CAMILO CORTES VILLADA</t>
  </si>
  <si>
    <t>Solicitud trámite de pago Certificado de Cumplimiento Pago No. 5 contrato CO1.PCCNTR.7196914 – Edwin Andrés García Amaya</t>
  </si>
  <si>
    <t>$ 8.886.363,00</t>
  </si>
  <si>
    <t>[F] Certificado de Cumplimiento del Pago No. 4 CO1.PCCNTR.7482219 LADY CAROLINA GIRALDO BELLO</t>
  </si>
  <si>
    <t>[F] Certificado de Cumplimiento del Pago No. 4 CO1.PCCNTR.7366311 NICOLAS AUGUSTO MARIN PINZON</t>
  </si>
  <si>
    <t>[F] Certificado de Cumplimiento del Pago No. 4 CO1.PCCNTR.7451843 EMMANUEL JOSE MANZANO VERJEL</t>
  </si>
  <si>
    <t>Certificado de Cumplimiento del Pago No. 5 - CO1.PCCNTR.7212348 CATALINA CASTILLO VERDUGO</t>
  </si>
  <si>
    <t>199929425-199929925</t>
  </si>
  <si>
    <t>$ 8.855.216,00</t>
  </si>
  <si>
    <t>Solicitud trámite de pago certificado de cumplimiento Pago No. 4 contrato CO1.PCCNTR.7394519 a nombre de Alejandra Sandoval</t>
  </si>
  <si>
    <t>$ 3.502.800,00</t>
  </si>
  <si>
    <t>Solicitud trámite de pago certificado de cumplimiento Pago No. 04 contrato CO1.PCCNTR.7405504 - Estefany Osorio Arroyave</t>
  </si>
  <si>
    <t>Solicitud trámite de pago certificado de cumplimiento Pago No. 04 contrato CO1.PCCNTR.7337347 - Luis Alejandro Rodríguez González</t>
  </si>
  <si>
    <t>$ 5.746.650,00</t>
  </si>
  <si>
    <t>certificado de cumplimiento Pago No. 04 contrato CO1.PCCNTR. 7356828</t>
  </si>
  <si>
    <t>$ 8.274.000,00</t>
  </si>
  <si>
    <t>[I] Certificado de Cumplimiento del Pago No. 5 CO1.PCCNTR.7245419 LAURA FLECHAS MEJIA</t>
  </si>
  <si>
    <t>$ 9.679.950,00</t>
  </si>
  <si>
    <t>[I] Certificado de Cumplimiento del Pago No. 4 CO1.PCCNTR.7408024 PAULA NATALIA RIVEROS.</t>
  </si>
  <si>
    <t>[F] Certificado de Cumplimiento del Pago No. 4 CO1.PCCNTR.7479804 CRISTIAN ALEJANDRO BLANCO MARTINEZ.</t>
  </si>
  <si>
    <t>$ 4.819.500,00</t>
  </si>
  <si>
    <t>[F] Certificado de Cumplimiento del Pago No. 5 CO1.PCCNTR.7229767 MONICA MARIA RUEDA VEGA</t>
  </si>
  <si>
    <t>Solicitud trámite de pago certificado de cumplimiento Pago No.005 contrato CO1.PCCNTR.7218018 ADRIÁN GUTIÉRREZ HUERTAS.</t>
  </si>
  <si>
    <t>$ 2.464.800,00</t>
  </si>
  <si>
    <t>Solicitud trámite de pago certificado de cumplimiento Pago No.004 contrato CO1.PCCNTR.7353401 GERSSON IVAN SANCHEZ ALVAREZ.</t>
  </si>
  <si>
    <t>$ 3.596.500,00</t>
  </si>
  <si>
    <t>Quinto pago Ninroth Espinosa Muñoz</t>
  </si>
  <si>
    <t>Solicitud trámite de pago certificado de cumplimiento Pago No. 03 contrato CO1.PCCNTR.7619744 NORABIS ESTHER TEJEDOR CASSIANI</t>
  </si>
  <si>
    <t>190476525-190478525</t>
  </si>
  <si>
    <t>$ 7.912.475,00</t>
  </si>
  <si>
    <t>Solicitud trámite de pago certificado de cumplimiento Pago No. 04 contrato CO1.PCCNTR. 7527446 - Olga Lucia Carranza Molina</t>
  </si>
  <si>
    <t>184827925-184830525</t>
  </si>
  <si>
    <t>$ 8.045.675,00</t>
  </si>
  <si>
    <t>Solicitud trámite de pago certificado de cumplimiento Pago No. 03 contrato CO1.PCCNTR.7641861 Mirna Casseres Cassiani</t>
  </si>
  <si>
    <t>Certificado de Cumplimiento del Pago No. 5 - CO1.PCCNTR.7237232 DAVID ANDRES SERRATO TOBON</t>
  </si>
  <si>
    <t>$ 8.353.800,00</t>
  </si>
  <si>
    <t>Certificado para 5 pago del contrato CO1.PCCNTR.7253814 A NOMBRE DE HENDRIX SUAREZ</t>
  </si>
  <si>
    <t>Solicitud trámite de pago certificado de cumplimiento Pago No. 04 contrato CO1.PCCNTR. 7484772 María Fernanda Becerra Cano.</t>
  </si>
  <si>
    <t>$ 6.250.000,00</t>
  </si>
  <si>
    <t>Solicitud trámite de pago certificado de cumplimiento Pago No. 04 contrato CO1.PCCNTR.7401156 - Jesús Eduardo Sánchez Daza</t>
  </si>
  <si>
    <t>Solicitud trámite de pago certificado de cumplimiento Pago No. 4 Contrato CO1.PCCNTR.7393821 ANGIE ANDREA MONTOYA GONZALEZ</t>
  </si>
  <si>
    <t>$ 7.896.600,00</t>
  </si>
  <si>
    <t>[F] Certificado de Cumplimiento del Pago No. 4 CO1.PCCNTR.7367645 ISABEL SIERRA URIBE.</t>
  </si>
  <si>
    <t>Solicitud trámite de pago certificado de cumplimiento Pago No. 02 contrato CO1.PCCNTR.7748347 - María Cristina López Bolívar.</t>
  </si>
  <si>
    <t>$ 8.997.000,00</t>
  </si>
  <si>
    <t>Solicitud trámite de pago certificado de cumplimiento Pago No. 5 contrato CO1.PCCNTR. 7314969</t>
  </si>
  <si>
    <t>Solicitud trámite de pago certificado de cumplimiento Pago No. 5 contrato CO1.PCCNTR. 7297643 ARCHIVOS DEL ESTADO Y TECNOLOGÍAS DE LA INFORMACIÓN S.A.S</t>
  </si>
  <si>
    <t>$ 10.486.362,00</t>
  </si>
  <si>
    <t>Certificado de cumplimiento Pago No. 04 contrato CO1.PCCNTR. 7425052</t>
  </si>
  <si>
    <t>$ 3.300.000,00</t>
  </si>
  <si>
    <t>Solicitud trámite de pago certificado de cumplimiento Pago No. 01 contrato CO1.PCCNT.7904006 del profesional Harol Andrey Avila Chocontá</t>
  </si>
  <si>
    <t>$ 439.513,00</t>
  </si>
  <si>
    <t>CERTIFICADO DE CUMPLIMIENTO DEL PAGO NO. 4 - CO1.PCCNTR.7351711 LAURA ISABEL GOMEZ TORRES</t>
  </si>
  <si>
    <t>CERTIFICADO DE CUMPLIMIENTO DEL PAGO NO. 4 - CO1.PCCNTR.7403833 JOSE ANTONIO BARAJAS VILLAREAL</t>
  </si>
  <si>
    <t>Solicitud trámite de Pago No.5 CO1.PCCNTR.7256686 KELLY TORO</t>
  </si>
  <si>
    <t>190519125-190525725</t>
  </si>
  <si>
    <t>$ 14.274.928,00</t>
  </si>
  <si>
    <t>Solicitud trámite de Pago No.4 CO1.PCCNTR.7343441 DAVID CHITIVA</t>
  </si>
  <si>
    <t>Solicitud trámite de pago certificado de cumplimiento Pago No. 03 contrato CO1.PCCNTR. 7620010 Sthepanie Zamora</t>
  </si>
  <si>
    <t>$ 8.897.000,00</t>
  </si>
  <si>
    <t>Solicitud trámite de pago certificado de cumplimiento Pago No. 05 contrato CO1.PCCNTR.7210854 Carolina Bastidas Mayo</t>
  </si>
  <si>
    <t>184162225-184163225</t>
  </si>
  <si>
    <t>$ 12.879.838,00</t>
  </si>
  <si>
    <t>Solicitud trámite de pago certificado de cumplimiento Pago No. 04 contrato CO1.PCCNTR.7374441 Daniela Uribe Mayo</t>
  </si>
  <si>
    <t>Solicitud trámite de pago certificado de cumplimiento Pago No. 004 - Contrato CO1.PCCNTR. 7347456</t>
  </si>
  <si>
    <t>Solicitud trámite de pago certificado de cumplimiento Pago No. 05 contrato CO1.PCCNTR.7238540 del profesional Carlos Darío Cristiano Botia</t>
  </si>
  <si>
    <t>$ 4.335.000,00</t>
  </si>
  <si>
    <t>Solicitud trámite de Pago No.4 CO1.PCCNTR.7343482 FREDY GOMEZ</t>
  </si>
  <si>
    <t>Solicitud trámite de Pago No.4 CO1.PCCNTR.7343405. SONIA ECHEVERRIA</t>
  </si>
  <si>
    <t>Solicitud trámite de pago certificado de cumplimiento Pago No. 5 contrato CO1.PCCNTR.7309812 RAUL BAEZ DELGADO</t>
  </si>
  <si>
    <t>Certificado de cumplimiento Pago No. 05 contrato CO1.PCCNTR. 7333105</t>
  </si>
  <si>
    <t>$ 6.260.650,00</t>
  </si>
  <si>
    <t>CERTIFICADO CUMPLIMIENTO WILLIAM FERNANDO FONSECA</t>
  </si>
  <si>
    <t>$ 7.290.000,00</t>
  </si>
  <si>
    <t>[I] Certificado de Cumplimiento del Pago No. 4 CO1.PCCNTR.7425199 DANIEL DE JESÚS RESTREPO SOTO.</t>
  </si>
  <si>
    <t>Solicitud trámite de pago certificado de cumplimiento Pago No. 5 contrato CO1.PCCNTR7292416 Edmna Maritza Real Salinas</t>
  </si>
  <si>
    <t>$ 8.017.840,00</t>
  </si>
  <si>
    <t>cuarta cuenta Katherine Rodriguez clausulado N°CO1.PCCNTR.7340461</t>
  </si>
  <si>
    <t>190383225-190390425</t>
  </si>
  <si>
    <t>$ 10.772.767,00</t>
  </si>
  <si>
    <t>$ 4.677.021,00</t>
  </si>
  <si>
    <t>CERTIFICADO DE CUMPLIMIENTO EDWIN ALEXANDER BAUTISTA</t>
  </si>
  <si>
    <t>$ 5.100.000,00</t>
  </si>
  <si>
    <t>CERTIFICADO CUMPLIMIENTO JEHISON</t>
  </si>
  <si>
    <t>Solicitud trámite de pago certificado de cumplimiento Pago No. 04 contrato CO1.PCCNTR.7421801 - David Andrés Sánchez Torres</t>
  </si>
  <si>
    <t>Solicitud trámite de pago - Certificado de cumplimiento Pago No. 5 - Contrato CO1.PCCNTR.7218727 PAOLA ANDREA TORRES CHACON</t>
  </si>
  <si>
    <t>$ 9.585.500,00</t>
  </si>
  <si>
    <t>SOLICITUD TRÁMITE DE PAGO - CERTIFICADO DE CUMPLIMIENTO PAGO NO. 2 - CONTRATO CO1.PCCNTR.7787162 KAREN TATIANA ROSADA SANCHEZ</t>
  </si>
  <si>
    <t>Solicitud trámite de pago - Certificado de cumplimiento Pago No. 5 - Contrato CO1.PCCNTR.7238976 JORGE MARIO GUEVARA GONZÁLEZ</t>
  </si>
  <si>
    <t>SOLICITUD TRÁMITE DE PAGO - CERTIFICADO DE CUMPLIMIENTO PAGO NO. 2 - CONTRATO CO1.PCCNTR.7766137 - DIANA SOFÍA DÍAZ CASTRO</t>
  </si>
  <si>
    <t>Solicitud trámite de pago certificado de cumplimiento Pago No. 04 contrato CO1.PCCNTR.7347019 -GIOVANNY ALEXANDER SANABRIA VELÁZQUEZ</t>
  </si>
  <si>
    <t>$ 3.996.300,00</t>
  </si>
  <si>
    <t>Solicitud trámite de Pago No.4 CO1.PCCNTR.7343412. WILLIAM VILLAMIL</t>
  </si>
  <si>
    <t>Solicitud trámite de pago certificado de cumplimiento Pago No. 04 contrato CO1.PCCNTR. 7448769 - CLAUDIA PATRICIA CHAVES VIVAS.</t>
  </si>
  <si>
    <t>190510425-190515625</t>
  </si>
  <si>
    <t>$ 7.986.675,00</t>
  </si>
  <si>
    <t>Solicitud trámite de Pago No.4 CO1.PCCNTR.7421118 JUAN ALVARADO</t>
  </si>
  <si>
    <t>$ 3.254.100,00</t>
  </si>
  <si>
    <t>Solicitud trámite de pago certificado de cumplimiento Pago No.5 Contrato CO1.PCCNTR.7233421 INFOMETRIKA SAS</t>
  </si>
  <si>
    <t>$ 4.429.066,00</t>
  </si>
  <si>
    <t>Solicitud trámite de pago certificado de cumplimiento Pago No. 01 contrato CO1.PCCNTR.7720730 - JAIME ANDRES OSORIO MARUN</t>
  </si>
  <si>
    <t>OSORIO MARUN JAIME ANDRES</t>
  </si>
  <si>
    <t>$ 6.766.666,00</t>
  </si>
  <si>
    <t>Solicitud trámite de pago certificado de cumplimiento Pago No. 005 contrato No. CO1.PCCNTR.7243623</t>
  </si>
  <si>
    <t>$ 7.907.246,00</t>
  </si>
  <si>
    <t>SOLICITUD TRÁMITE DE PAGO - CERTIFICADO DE CUMPLIMIENTO PAGO NO. 2 - CONTRATO CO1.PCCNTR.7763859 JOVITA IDALBA SANABRIA CHARRY</t>
  </si>
  <si>
    <t>Solicitud trámite de pago certificado de cumplimiento Pago No. 005 Contrato CO1.PCCNTR. 7205218 a nombre de LAURA VALENTINA SANIN MORALES</t>
  </si>
  <si>
    <t>$ 5.507.400,00</t>
  </si>
  <si>
    <t>Solicitud trámite de pago Pago No.4 CO1.PCCNTR.7411663. CRISTHIAN GONZALEZ</t>
  </si>
  <si>
    <t>Solicitud trámite de pago certificado de cumplimiento Pago No. 05 contrato CO1.PCCNTR.7307572 Juan Camilo Sanchez Mayo</t>
  </si>
  <si>
    <t>Solicitud trámite de pago certificado de cumplimiento Pago No. 1 Contrato CO1.PCCNTR.7886907 Magnery Edith Vargas Morales.</t>
  </si>
  <si>
    <t>$ 2.726.885,00</t>
  </si>
  <si>
    <t>Solicitud trámite de pago certificado de cumplimiento Pago No. 04 contrato No°CO1.PCCNTR.7349227</t>
  </si>
  <si>
    <t>Solicitud trámite de pago certificado de cumplimiento Pago No. 04 contrato CO1.PCCNTR. 7348425</t>
  </si>
  <si>
    <t>Certificado de cumplimiento del Pago No. 5 del contrato CO1.PCCNTR.7263041 a nombre de CESAR HERNAN SOTELO SANCHEZ</t>
  </si>
  <si>
    <t>[I] Certificado de Cumplimiento del Pago No. 4 CO1.PCCNTR.7344442 DAVID FERNANDO ROMERO QUETE.</t>
  </si>
  <si>
    <t>$ 12.911.500,00</t>
  </si>
  <si>
    <t>[I] Certificado de Cumplimiento del Pago No. 4 CO1.PCCNTR.7412289 MARYENI KARINA ENRÍQUEZ ENRÍQUEZ.</t>
  </si>
  <si>
    <t>$ 11.960.454,00</t>
  </si>
  <si>
    <t>(F) Certificado de Cumplimiento del Pago No. 5 CO1.PCCNTR.7299167 ALISON XIMENA ROZO CRUZ</t>
  </si>
  <si>
    <t>[F] Certificado de Cumplimiento del Pago No. 4 CO1.PCCNTR.7368367 JOHN ALEXANDER SANCHEZ CARDOZO</t>
  </si>
  <si>
    <t>$ 13.500.000,00</t>
  </si>
  <si>
    <t>[F] Certificado de Cumplimiento del Pago No. 5 CO1.PCCNTR.7299191 SARAY GISELLA GOMEZ GARNICA</t>
  </si>
  <si>
    <t>[I] Certificado de Cumplimiento del Pago No. 4 CO1.PCCNTR.7339853 SOFIA DELGADO RAMOS.</t>
  </si>
  <si>
    <t>Solicitud trámite de pago certificado de cumplimiento Pago No. 03 contrato CO1.PCCNTR. 7611633 - Manuel Alejandro Montoya Vargas.</t>
  </si>
  <si>
    <t>192353325-192364125</t>
  </si>
  <si>
    <t>$ 7.520.675,00</t>
  </si>
  <si>
    <t>Solicitud trámite de pago certificado de cumplimiento Pago No. 04 contrato CO1.PCCNTR. 7448734 - MONICA CRISTINA CASTAÑEDA</t>
  </si>
  <si>
    <t>192773425-192773825</t>
  </si>
  <si>
    <t>$ 7.845.675,00</t>
  </si>
  <si>
    <t>Solicitud trámite de pago certificado de cumplimiento Pago No. 02 contrato CO1.PCCNTR. 7687015 - JUAN DAVID ORTEGA.</t>
  </si>
  <si>
    <t>Certificado de cumplimiento Pago No. 04 contrato CO1.PCCNTR. 7353918</t>
  </si>
  <si>
    <t>$ 7.087.500,00</t>
  </si>
  <si>
    <t>[F] Certificado de Cumplimiento del Pago No. 4 CO1.PCCNTR.7478877 JENNY LORENA IBARGUEN VALVERDE</t>
  </si>
  <si>
    <t>Certificado de cumplimiento del Pago No. 05 del contrato CO1.PCCNTR.7259306 a nombre de OLGA ESTELLA RAMÍREZ YAIMA</t>
  </si>
  <si>
    <t>Solicitud trámite de pago certificado de cumplimiento Pago No. 5 contrato CO1.PCCNTR.7292780</t>
  </si>
  <si>
    <t>$ 4.026.000,00</t>
  </si>
  <si>
    <t>Solicitud trámite de pago certificado de cumplimiento Pago No. 03 contrato CO1.PCCNTR.7585116 a nombre de Iván Darío Gómez Lee S.A.S.</t>
  </si>
  <si>
    <t>Solicitud trámite de pago certificado de cumplimiento Pago No.004 contrato CO1.PCCNTR.7419999 DAVID ANDRES MONROY CAMARGO.</t>
  </si>
  <si>
    <t>$ 6.167.200,00</t>
  </si>
  <si>
    <t>Certificado de Cumplimiento del Pago No. 001 CO1.PCCNTR.7790819 Universidad de los Andes</t>
  </si>
  <si>
    <t>PAOLA ANDREA ZAMBRANO GARCIA</t>
  </si>
  <si>
    <t>$ 90.000.000,00</t>
  </si>
  <si>
    <t>CERTIFICADO DE CUMPLIMIENTO OSCAR IVAN MARQUEZ</t>
  </si>
  <si>
    <t>$ 5.746.000,00</t>
  </si>
  <si>
    <t>Solicitud trámite de pago certificado de cumplimiento Pago No. 5 contrato CO1.PCCNTR.7309915 a nombre de Rafael Ángelo Luque González</t>
  </si>
  <si>
    <t>Solicitud trámite de pago certificado de cumplimiento Pago No.004 contrato CO1.PCCNTR.7412208 ANGIE TATIANA CASTAÑEDA SANCHEZ.</t>
  </si>
  <si>
    <t>$ 4.546.800,00</t>
  </si>
  <si>
    <t>Solicitud trámite de pago certificado de cumplimiento Pago No.05 contrato CO1.PCCNTR.7253621. Estefany Lizette Cajamarca Martinez</t>
  </si>
  <si>
    <t>$ 4.372.000,00</t>
  </si>
  <si>
    <t>Solicitud trámite de pago certificado de cumplimiento Pago No.05 contrato CO1.PCCNTR.7217655. EDISSON VELÁSQUEZ RIVERA</t>
  </si>
  <si>
    <t>$ 4.084.000,00</t>
  </si>
  <si>
    <t>Solicitud trámite de pago certificado de cumplimiento Pago No.05 contrato CO1.PCCNTR.7264942. SANDRA MILENA ROMERO VARGAS</t>
  </si>
  <si>
    <t>Solicitud trámite de pago certificado de cumplimiento Pago No.004 contrato CO1.PCCNTR.7411636 WILMER GUZMAN ESTUPIÑAN.</t>
  </si>
  <si>
    <t>Solicitud trámite de pago certificado de cumplimiento Pago No.05 contrato CO1.PCCNTR.7314388. ADRIANA YASMILI ROJAS ORTIZ</t>
  </si>
  <si>
    <t>$ 8.300.000,00</t>
  </si>
  <si>
    <t>Solicitud trámite de pago certificado de cumplimiento Pago No.04 contrato CO1.PCCNTR.7393666. Sebastián José Martínez Petro</t>
  </si>
  <si>
    <t>$ 1.940.400,00</t>
  </si>
  <si>
    <t>Solicitud trámite de pago certificado de cumplimiento Pago No. 005 contrato No. CO1.PCCNTR.7211982</t>
  </si>
  <si>
    <t>Solicitud trámite de Pago No.5 CO1.PCCNTR.7212661 KAREN RODRIGUEZ</t>
  </si>
  <si>
    <t>Solicitud trámite de pago certificado de cumplimiento Pago No. 03 contrato No. CO1.PCCNTR.7639923 Lina Adelaida Jiménez Avellaneda</t>
  </si>
  <si>
    <t>$ 10.520.000,00</t>
  </si>
  <si>
    <t>Solicitud trámite de pago certificado de cumplimiento Pago No. 03 contrato No. Contrato No. CO1.PCCNTR.7639885 de ANGELICA DIAZ ORTIZ</t>
  </si>
  <si>
    <t>$ 12.624.000,00</t>
  </si>
  <si>
    <t>Solicitud trámite de pago certificado de cumplimiento Pago No. 05 contrato CO1.PCCNTR. 7218834</t>
  </si>
  <si>
    <t>AURA MARIA BERMUDEZ SANCHEZ</t>
  </si>
  <si>
    <t>$ 12.739.080,00</t>
  </si>
  <si>
    <t>Solicitud trámite de pago certificado de cumplimiento Pago No. 02 contrato CO1.PCCNTR. 7749312 - AIDEN JOSE SALGADO CASSIANI.</t>
  </si>
  <si>
    <t>2025114140000286E</t>
  </si>
  <si>
    <t>Solicitud trámite de pago - Certificado de cumplimiento Pago No. 3 Contrato CO1.PCCNTR.7678919</t>
  </si>
  <si>
    <t>Certificado de Cumplimiento del Pago No. 4 - CO1.PCCNTR.7344401 CRISTIAN DAVID RODRIGUEZ REYES</t>
  </si>
  <si>
    <t>Certificado de Cumplimiento del Pago No. 5 - CO1.PCCNTR.7238309 LUIS GABRIEL ZARRATE</t>
  </si>
  <si>
    <t>199939125-199939625</t>
  </si>
  <si>
    <t>Solicitud trámite de pago certificado de cumplimiento Pago No. 04 contrato CO1.PCCNTR. 7344961 - RAFAEL ENRIQUE RIOS OSORIO</t>
  </si>
  <si>
    <t>Solicitud trámite de pago certificado de cumplimiento Pago No. 005 contrato CO1.PCCNTR.7207531 Karina Andrea Gómez Cely.</t>
  </si>
  <si>
    <t>Solicitud trámite de pago certificado de cumplimiento Pago No.05 del contrato CO1.PCCNTR.7269456 a nombre de CARLOS ARTURO ACOSTA SANCHEZ.</t>
  </si>
  <si>
    <t>Solicitud trámite de pago certificado de cumplimiento del primer y segundo Pago Orden de Compra 145535 de 2025. ALFAPEOPLE ANDINO S.A.S.</t>
  </si>
  <si>
    <t>2025114340100302E</t>
  </si>
  <si>
    <t>ALFAPEOPLE ANDINO S A S</t>
  </si>
  <si>
    <t>$ 41.414.784,00</t>
  </si>
  <si>
    <t>Solicitud trámite de pago certificado de cumplimiento Pago No. 02 contrato CO1.PCCNTR. 7268839</t>
  </si>
  <si>
    <t>$ 406.274,00</t>
  </si>
  <si>
    <t>Solicitud trámite de pago certificado de cumplimiento Pago No. 03 contrato CO1.PCCNTR. 7268839</t>
  </si>
  <si>
    <t>2025114140100104E </t>
  </si>
  <si>
    <t>$ 290.730,00</t>
  </si>
  <si>
    <t>Solicitud trámite de pago certificado de cumplimiento Pago No. 4 Contrato CO1.PCCNTR.7351217 JORGE ESTEBAN CASTRO GUALDRON</t>
  </si>
  <si>
    <t>Solicitud trámite de pago certificado de cumplimiento Pago No. 004 contrato CO1.PCCNTR.7415776</t>
  </si>
  <si>
    <t>Solicitud trámite de pago certificado de cumplimiento Pago No. 02 contrato CO1.PCCNTR.7720730 - JAIME ANDRES OSORIO MARUN.</t>
  </si>
  <si>
    <t>Solicitud trámite de pago - Certificado de cumplimiento Pago No. 5 Contrato CO1.PCCNTR.7322343 - Yuly Tatiana Palacios Vargas</t>
  </si>
  <si>
    <t>$ 4.161.900,00</t>
  </si>
  <si>
    <t>Solicitud trámite de pago certificado de cumplimiento Pago No. 04 contrato CO1.PCCNTR.7349615 a nombre de Juan Libardo Avendaño Suarez</t>
  </si>
  <si>
    <t>Solicitud trámite de pago certificado de cumplimiento Pago No. 01 contrato CO1.PCCNTR.7771661</t>
  </si>
  <si>
    <t>CONSTRUCCIONES RETO SAS</t>
  </si>
  <si>
    <t>$ 44.547.245,22</t>
  </si>
  <si>
    <t>Solicitud trámite de pago certificado de cumplimiento Pago No. 02 contrato CO1.PCCNTR.7782919 - Edison Andrés Toledo Norato</t>
  </si>
  <si>
    <t>TOLEDO EDISON</t>
  </si>
  <si>
    <t>Solicitud trámite de pago certificado de cumplimiento Pago No. 05 contrato CO1.PCCNTR.7242992 a nombre de Edgar Saúl Vargas Soto</t>
  </si>
  <si>
    <t>Solicitud trámite de pago certificado de cumplimiento Pago No. 05 contrato CO1.PCCNTR.7235879 -JUAN DAVID ARBELAEZ GALVEZ.</t>
  </si>
  <si>
    <t>Solicitud trámite de pago certificado de cumplimiento Pago No.9 Orden de compra No 140719 DISTRACOM S.A</t>
  </si>
  <si>
    <t>$ 472.828,71</t>
  </si>
  <si>
    <t>Solicitud trámite de pago certificado de cumplimiento Pago No.4, contrato CO1.PCCNTR.7411105</t>
  </si>
  <si>
    <t>$ 6.200.000,00</t>
  </si>
  <si>
    <t>Solicitud trámite de pago certificado de cumplimiento Pago No. 5 contrato CO1.PCCNTR. 7294133</t>
  </si>
  <si>
    <t>Solicitud trámite de pago certificado de cumplimiento Pago No. 2 contrato CO1.PCCNTR.7783088</t>
  </si>
  <si>
    <t>Solicitud trámite de pago certificado de cumplimiento Pago No. 05 contrato CO1.PCCNTR.7306619</t>
  </si>
  <si>
    <t>Solicitud trámite de pago certificado de cumplimiento Pago No. 01 contrato CO1.PCCNTR.7903551</t>
  </si>
  <si>
    <t>AGREDA DELGADO JUAN ALEXANDER</t>
  </si>
  <si>
    <t>$ 700.000,00</t>
  </si>
  <si>
    <t>Solicitud trámite de pago certificado de cumplimiento Pago No. 05 contrato CO1.PCCNTR.7311700</t>
  </si>
  <si>
    <t>Solicitud trámite de pago certificado de cumplimiento Pago No. 01 contrato CO1.PCCNTR.7859618</t>
  </si>
  <si>
    <t>BAUTISTA VELASQUEZ SEBASTIAN</t>
  </si>
  <si>
    <t>$ 3.000.000,00</t>
  </si>
  <si>
    <t>Solicitud trámite de pago certificado de cumplimiento Pago No. 2 contrato CO1.PCCNTR.7698279</t>
  </si>
  <si>
    <t>$ 4.792.600,00</t>
  </si>
  <si>
    <t>Solicitud trámite de pago - Certificado de cumplimiento Pago No. 4 - Contrato CO1.PCCNTR.7364800 - EDWIN GABRIEL RODRÍGUEZ TORRES</t>
  </si>
  <si>
    <t>Memorando tramite de cuarto pago _ ALEJANDRA PATRICIA GIL PEREZ</t>
  </si>
  <si>
    <t>TIPO DE PROCESO</t>
  </si>
  <si>
    <t>CONSECUTIVO</t>
  </si>
  <si>
    <t>TIPO DE CONTRATO</t>
  </si>
  <si>
    <t>N. SECOP</t>
  </si>
  <si>
    <t>VALOR</t>
  </si>
  <si>
    <t>PAGO 1</t>
  </si>
  <si>
    <t>PAGO 2</t>
  </si>
  <si>
    <t>PAGO 3</t>
  </si>
  <si>
    <t>PAGO 4</t>
  </si>
  <si>
    <t>PAGO 5</t>
  </si>
  <si>
    <t>PAGO 6</t>
  </si>
  <si>
    <t>PAGO 7</t>
  </si>
  <si>
    <t>PAGO 8</t>
  </si>
  <si>
    <t>PAGO 9</t>
  </si>
  <si>
    <t>PAGO 10</t>
  </si>
  <si>
    <t>PAGO 11</t>
  </si>
  <si>
    <t>PAGO 12</t>
  </si>
  <si>
    <t>PAGO 13</t>
  </si>
  <si>
    <t>PAGO 14</t>
  </si>
  <si>
    <t>PAGO 15</t>
  </si>
  <si>
    <t>TOTAL PAGADO</t>
  </si>
  <si>
    <t>C--001-2025</t>
  </si>
  <si>
    <t>ANDREA PEDROZA MOLINA</t>
  </si>
  <si>
    <t>C--002-2025</t>
  </si>
  <si>
    <t>C--003-2025</t>
  </si>
  <si>
    <t>C--004-2025</t>
  </si>
  <si>
    <t>C--005-2025</t>
  </si>
  <si>
    <t>C--006-2025</t>
  </si>
  <si>
    <t>C-007-2025</t>
  </si>
  <si>
    <t>C-008-2025</t>
  </si>
  <si>
    <t>C-009-2025</t>
  </si>
  <si>
    <t>C-010-2025</t>
  </si>
  <si>
    <t>C-011-2025</t>
  </si>
  <si>
    <t>C-012-2025</t>
  </si>
  <si>
    <t>C-013-2025</t>
  </si>
  <si>
    <t>C-014-2025</t>
  </si>
  <si>
    <t>C-015-2025</t>
  </si>
  <si>
    <t>C-016-2025</t>
  </si>
  <si>
    <t>C-017-2025</t>
  </si>
  <si>
    <t>C-018-2025</t>
  </si>
  <si>
    <t>C-019-2025</t>
  </si>
  <si>
    <t>CO1.PCCNTR.7215032</t>
  </si>
  <si>
    <t>C-020-2025</t>
  </si>
  <si>
    <t>C-021-2025</t>
  </si>
  <si>
    <t>C-022-2025</t>
  </si>
  <si>
    <t>C-023-2025</t>
  </si>
  <si>
    <t>C-024-2025</t>
  </si>
  <si>
    <t>C-025-2025</t>
  </si>
  <si>
    <t>C-026-2025</t>
  </si>
  <si>
    <t>C-027-2025</t>
  </si>
  <si>
    <t>C-028-2025</t>
  </si>
  <si>
    <t>C-029-2025</t>
  </si>
  <si>
    <t>C-030-2025</t>
  </si>
  <si>
    <t>C-031-2025</t>
  </si>
  <si>
    <t>C-032-2025</t>
  </si>
  <si>
    <t>C-033-2025</t>
  </si>
  <si>
    <t>C-034-2025</t>
  </si>
  <si>
    <t>C-035-2025</t>
  </si>
  <si>
    <t>C-036-2025</t>
  </si>
  <si>
    <t>C-037-2025</t>
  </si>
  <si>
    <t>C-038-2025</t>
  </si>
  <si>
    <t>C-039-2025</t>
  </si>
  <si>
    <t>C-040-2025</t>
  </si>
  <si>
    <t>C-041-2025</t>
  </si>
  <si>
    <t>C-042-2025</t>
  </si>
  <si>
    <t>C-043-2025</t>
  </si>
  <si>
    <t>C-044-2025</t>
  </si>
  <si>
    <t>C-045-2025</t>
  </si>
  <si>
    <t>C-046-2025</t>
  </si>
  <si>
    <t>CO1.PCCNTR.7236436</t>
  </si>
  <si>
    <t>C-047-2025</t>
  </si>
  <si>
    <t>C-048-2025</t>
  </si>
  <si>
    <t>C-049-2025</t>
  </si>
  <si>
    <t>C-050-2025</t>
  </si>
  <si>
    <t>C-051-2025</t>
  </si>
  <si>
    <t>C-052-2025</t>
  </si>
  <si>
    <t>C-053-2025</t>
  </si>
  <si>
    <t>C-054-2025</t>
  </si>
  <si>
    <t>C-055-2025</t>
  </si>
  <si>
    <t>C-056-2025</t>
  </si>
  <si>
    <t>C-057-2025</t>
  </si>
  <si>
    <t>C-058-2025</t>
  </si>
  <si>
    <t>C-059-2025</t>
  </si>
  <si>
    <t>C-060-2025</t>
  </si>
  <si>
    <t>C-061-2025</t>
  </si>
  <si>
    <t>C-062-2025</t>
  </si>
  <si>
    <t>C-063-2025</t>
  </si>
  <si>
    <t xml:space="preserve">Prestar servicios profesionales para adelantar los asuntos jurídicos derivados de la gestión del talento humano de la Unidad de Planeación Minero Energética	 </t>
  </si>
  <si>
    <t>MARTHA ADRIANA CATALINA BALLESTEROS SANCHEZ</t>
  </si>
  <si>
    <t>C-064-2025</t>
  </si>
  <si>
    <t>C-065-2025</t>
  </si>
  <si>
    <t>C-066-2025</t>
  </si>
  <si>
    <t>C-067-2025</t>
  </si>
  <si>
    <t>C-068-2025</t>
  </si>
  <si>
    <t>C-069-2025</t>
  </si>
  <si>
    <t>C-070-2025</t>
  </si>
  <si>
    <t>C-071-2025</t>
  </si>
  <si>
    <t>C-072-2025</t>
  </si>
  <si>
    <t>C-073-2025</t>
  </si>
  <si>
    <t>C-074-2025</t>
  </si>
  <si>
    <t>C-075-2025</t>
  </si>
  <si>
    <t>C-076-2025</t>
  </si>
  <si>
    <t>C-077-2025</t>
  </si>
  <si>
    <t>C-078-2025</t>
  </si>
  <si>
    <t>C-079-2025</t>
  </si>
  <si>
    <t>C-081-2025</t>
  </si>
  <si>
    <t>C-082-2025</t>
  </si>
  <si>
    <t>C-083-2025</t>
  </si>
  <si>
    <t>C-085-2025</t>
  </si>
  <si>
    <t>C-086-2025</t>
  </si>
  <si>
    <t>C-087-2025</t>
  </si>
  <si>
    <t>C-088-2025</t>
  </si>
  <si>
    <t>C-089-2025</t>
  </si>
  <si>
    <t>C-090-2025</t>
  </si>
  <si>
    <t>C-091-2025</t>
  </si>
  <si>
    <t>C-0-92-2025</t>
  </si>
  <si>
    <t>C-0-93-2025</t>
  </si>
  <si>
    <t>C-095-2025</t>
  </si>
  <si>
    <t>C-098-2025</t>
  </si>
  <si>
    <t>C-099-2025</t>
  </si>
  <si>
    <t>C-097-2025</t>
  </si>
  <si>
    <t>C-101-2025</t>
  </si>
  <si>
    <t>C- 102-2025</t>
  </si>
  <si>
    <t>C- 103-2025</t>
  </si>
  <si>
    <t>C- 104-2025</t>
  </si>
  <si>
    <t>C- 105-2025</t>
  </si>
  <si>
    <t>C- 106-2025</t>
  </si>
  <si>
    <t>C- 107-2025</t>
  </si>
  <si>
    <t>C- 108-2025</t>
  </si>
  <si>
    <t>C- 109-2025.</t>
  </si>
  <si>
    <t>C- 110-2025</t>
  </si>
  <si>
    <t>C- 111-2025</t>
  </si>
  <si>
    <t>C- 112-2025</t>
  </si>
  <si>
    <t>C- 113-2025</t>
  </si>
  <si>
    <t>C- 114-2025</t>
  </si>
  <si>
    <t>C- 115-2025</t>
  </si>
  <si>
    <t>C- 116-2025</t>
  </si>
  <si>
    <t>C- 117-2025</t>
  </si>
  <si>
    <t>C- 118-2025</t>
  </si>
  <si>
    <t>C- 119-2025</t>
  </si>
  <si>
    <t>C- 120-2025</t>
  </si>
  <si>
    <t>C- 121-2025</t>
  </si>
  <si>
    <t>C- 122-2025</t>
  </si>
  <si>
    <t>C- 123-2025</t>
  </si>
  <si>
    <t>C- 124-2025</t>
  </si>
  <si>
    <t>C- 125-2025</t>
  </si>
  <si>
    <t>C- 126-2025</t>
  </si>
  <si>
    <t>C- 127-2025</t>
  </si>
  <si>
    <t>C- 128-2025</t>
  </si>
  <si>
    <t>C- 129-2025</t>
  </si>
  <si>
    <t>C- 130-2025</t>
  </si>
  <si>
    <t>C- 131-2025</t>
  </si>
  <si>
    <t>C- 132-2025</t>
  </si>
  <si>
    <t>C- 133-2025</t>
  </si>
  <si>
    <t>C- 134-2025</t>
  </si>
  <si>
    <t>C- 135-2025</t>
  </si>
  <si>
    <t>C- 136-2025</t>
  </si>
  <si>
    <t>C- 137-2025</t>
  </si>
  <si>
    <t>C- 138-2025</t>
  </si>
  <si>
    <t>C- 139-2025</t>
  </si>
  <si>
    <t>C- 140-2025</t>
  </si>
  <si>
    <t>C- 141-2025</t>
  </si>
  <si>
    <t>C- 142-2025</t>
  </si>
  <si>
    <t>C- 143-2025</t>
  </si>
  <si>
    <t>C- 144-2025</t>
  </si>
  <si>
    <t>C- 145-2025</t>
  </si>
  <si>
    <t>C- 146-2025</t>
  </si>
  <si>
    <t>C- 147-2025</t>
  </si>
  <si>
    <t>C- 148-2025</t>
  </si>
  <si>
    <t>C- 149-2025</t>
  </si>
  <si>
    <t>C- 150-2025</t>
  </si>
  <si>
    <t>C- 151-2025</t>
  </si>
  <si>
    <t>C- 152-2025</t>
  </si>
  <si>
    <t>C- 153-2025</t>
  </si>
  <si>
    <t>C- 154-2025</t>
  </si>
  <si>
    <t>C- 155-2025</t>
  </si>
  <si>
    <t>C- 156-2025</t>
  </si>
  <si>
    <t>C- 157-2025</t>
  </si>
  <si>
    <t>C- 158-2025</t>
  </si>
  <si>
    <t>C- 159-2025</t>
  </si>
  <si>
    <t>C- 160-2025</t>
  </si>
  <si>
    <t>C- 161-2025</t>
  </si>
  <si>
    <t>C- 162-2025</t>
  </si>
  <si>
    <t>C- 163-2025</t>
  </si>
  <si>
    <t>C- 164-2025</t>
  </si>
  <si>
    <t>C- 165-2025</t>
  </si>
  <si>
    <t>C- 166-2025</t>
  </si>
  <si>
    <t>C- 167-2025</t>
  </si>
  <si>
    <t>C- 168-2025</t>
  </si>
  <si>
    <t>C- 169-2025</t>
  </si>
  <si>
    <t>C- 170-2025</t>
  </si>
  <si>
    <t>C- 171-2025</t>
  </si>
  <si>
    <t>C- 172-2025</t>
  </si>
  <si>
    <t>C- 173-2025</t>
  </si>
  <si>
    <t>C- 174-2025</t>
  </si>
  <si>
    <t>C- 175-2025</t>
  </si>
  <si>
    <t>C- 176-2025</t>
  </si>
  <si>
    <t>C- 177-2025</t>
  </si>
  <si>
    <t>C- 178-2025</t>
  </si>
  <si>
    <t>C- 179-2025</t>
  </si>
  <si>
    <t>C- 180-2025</t>
  </si>
  <si>
    <t>C- 181-2025</t>
  </si>
  <si>
    <t>C- 182-2025</t>
  </si>
  <si>
    <t>C- 183-2025</t>
  </si>
  <si>
    <t>C- 184-2025</t>
  </si>
  <si>
    <t>C- 185-2025</t>
  </si>
  <si>
    <t>C- 186-2025</t>
  </si>
  <si>
    <t>C- 187-2025</t>
  </si>
  <si>
    <t>C- 188-2025</t>
  </si>
  <si>
    <t>C- 189-2025</t>
  </si>
  <si>
    <t>C- 190-2025</t>
  </si>
  <si>
    <t>C- 191-2025</t>
  </si>
  <si>
    <t>C- 192-2025</t>
  </si>
  <si>
    <t>C- 193-2025</t>
  </si>
  <si>
    <t>C- 194-2025</t>
  </si>
  <si>
    <t>C- 195-2025</t>
  </si>
  <si>
    <t>C- 196-2025</t>
  </si>
  <si>
    <t>C- 197-2025</t>
  </si>
  <si>
    <t>C- 198-2025</t>
  </si>
  <si>
    <t>C- 199-2025</t>
  </si>
  <si>
    <t>C- 200-2025</t>
  </si>
  <si>
    <t>C- 201-2025</t>
  </si>
  <si>
    <t>C- 202-2025</t>
  </si>
  <si>
    <t>C- 203-2025</t>
  </si>
  <si>
    <t>C- 204-2025</t>
  </si>
  <si>
    <t>C- 205-2025</t>
  </si>
  <si>
    <t>C- 206-2025</t>
  </si>
  <si>
    <t>C- 207-2025</t>
  </si>
  <si>
    <t>C- 208-2025</t>
  </si>
  <si>
    <t>C- 209-2025.</t>
  </si>
  <si>
    <t>C- 210-2025</t>
  </si>
  <si>
    <t>C- 211-2025</t>
  </si>
  <si>
    <t>C- 212-2025</t>
  </si>
  <si>
    <t>C- 213-2025</t>
  </si>
  <si>
    <t>C- 214-2025</t>
  </si>
  <si>
    <t>C- 215-2025</t>
  </si>
  <si>
    <t>C- 216-2025</t>
  </si>
  <si>
    <t>C- 217-2025</t>
  </si>
  <si>
    <t>C- 218-2025</t>
  </si>
  <si>
    <t>C- 219-2025</t>
  </si>
  <si>
    <t>C- 220-2025</t>
  </si>
  <si>
    <t>C- 221-2025</t>
  </si>
  <si>
    <t>C- 222-2025</t>
  </si>
  <si>
    <t>C- 223-2025</t>
  </si>
  <si>
    <t>C- 224-2025</t>
  </si>
  <si>
    <t>C- 225-2025</t>
  </si>
  <si>
    <t>C- 226-2025</t>
  </si>
  <si>
    <t>C- 227-2025</t>
  </si>
  <si>
    <t>C- 228-2025</t>
  </si>
  <si>
    <t>C- 229-2025-</t>
  </si>
  <si>
    <t>C- 230-2025</t>
  </si>
  <si>
    <t>C- 231-2025</t>
  </si>
  <si>
    <t>C- 232-2025</t>
  </si>
  <si>
    <t>C- 233-2025</t>
  </si>
  <si>
    <t>C- 234-2025</t>
  </si>
  <si>
    <t>C- 235-2025</t>
  </si>
  <si>
    <t>C- 236-2025</t>
  </si>
  <si>
    <t>C- 237-2025</t>
  </si>
  <si>
    <t>C- 238-2025</t>
  </si>
  <si>
    <t>C- 239-2025</t>
  </si>
  <si>
    <t>C- 240-2025</t>
  </si>
  <si>
    <t>C- 241-2025</t>
  </si>
  <si>
    <t>C- 242-2025</t>
  </si>
  <si>
    <t>C- 243-2025</t>
  </si>
  <si>
    <t>C- 244-2025</t>
  </si>
  <si>
    <t>C- 245-2025</t>
  </si>
  <si>
    <t>C- 246-2025</t>
  </si>
  <si>
    <t>C- 247-2025</t>
  </si>
  <si>
    <t>C- 248-2025</t>
  </si>
  <si>
    <t>C- 249-2025</t>
  </si>
  <si>
    <t>C- 250-2025</t>
  </si>
  <si>
    <t>C- 251-2025</t>
  </si>
  <si>
    <t>C- 252-2025</t>
  </si>
  <si>
    <t>C- 253-2025</t>
  </si>
  <si>
    <t>C- 254-2025</t>
  </si>
  <si>
    <t>C- 255-2025</t>
  </si>
  <si>
    <t>C- 256-2025</t>
  </si>
  <si>
    <t>C- 257-2025</t>
  </si>
  <si>
    <t>C- 258-2025</t>
  </si>
  <si>
    <t>C- 259-2025</t>
  </si>
  <si>
    <t>C- 260-2025</t>
  </si>
  <si>
    <t>C- 261-2025</t>
  </si>
  <si>
    <t>C- 262-2025</t>
  </si>
  <si>
    <t>C- 263-2025</t>
  </si>
  <si>
    <t>C- 264-2025</t>
  </si>
  <si>
    <t>C- 265-2025</t>
  </si>
  <si>
    <t>C- 266-2025</t>
  </si>
  <si>
    <t>C- 267-2025</t>
  </si>
  <si>
    <t>C- 268-2025</t>
  </si>
  <si>
    <t>C- 269-2025</t>
  </si>
  <si>
    <t>C- 270-2025</t>
  </si>
  <si>
    <t>C- 271-2025</t>
  </si>
  <si>
    <t>C- 272-2025</t>
  </si>
  <si>
    <t>C- 273-2025</t>
  </si>
  <si>
    <t>C- 274-2025</t>
  </si>
  <si>
    <t>C- 275-2025</t>
  </si>
  <si>
    <t>C- 276-2025</t>
  </si>
  <si>
    <t>C- 277-2025</t>
  </si>
  <si>
    <t>C- 278-2025</t>
  </si>
  <si>
    <t>C- 279-2025</t>
  </si>
  <si>
    <t>C- 280-2025</t>
  </si>
  <si>
    <t>C- 281-2025</t>
  </si>
  <si>
    <t>C- 282-2025</t>
  </si>
  <si>
    <t>C- 283-2025</t>
  </si>
  <si>
    <t>ASESORÍA</t>
  </si>
  <si>
    <t>ASOCIACIÓN</t>
  </si>
  <si>
    <t>CAPACITACIÓN</t>
  </si>
  <si>
    <t>CONSULTORÍA</t>
  </si>
  <si>
    <t>COOPERACIÓN</t>
  </si>
  <si>
    <t>FIDUCIA MERCANTIL</t>
  </si>
  <si>
    <t>LICENCIA</t>
  </si>
  <si>
    <t>MANTENIMIENTO</t>
  </si>
  <si>
    <t>PRESTACIÓN DE SERVICIOS APOYO A LA GESTIÓN</t>
  </si>
  <si>
    <t>SEGUROS</t>
  </si>
  <si>
    <t>SUMINISTRO</t>
  </si>
  <si>
    <t>SUSCRIPCIÓN</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</si>
</sst>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quot;$&quot;\ #,##0_);[Red]\(&quot;$&quot;\ #,##0\)"/>
    <numFmt numFmtId="165" formatCode="&quot;$&quot;\ #,##0.00_);[Red]\(&quot;$&quot;\ #,##0.00\)"/>
    <numFmt numFmtId="166" formatCode="yyyy/mm/dd"/>
    <numFmt numFmtId="167" formatCode="d/m/yyyy"/>
    <numFmt numFmtId="168" formatCode="dd/mm/yyyy"/>
    <numFmt numFmtId="169" formatCode="yyyy&quot;-&quot;mm&quot;-&quot;dd"/>
    <numFmt numFmtId="170" formatCode="[$ $]#,##0"/>
    <numFmt numFmtId="171" formatCode="yyyy-mm-dd"/>
  </numFmts>
  <fonts count="27">
    <font>
      <sz val="11.0"/>
      <color theme="1"/>
      <name val="Calibri"/>
      <scheme val="minor"/>
    </font>
    <font>
      <b/>
      <sz val="16.0"/>
      <color rgb="FFFFFFFF"/>
      <name val="Calibri"/>
    </font>
    <font/>
    <font>
      <b/>
      <sz val="10.0"/>
      <color theme="1"/>
      <name val="Calibri"/>
    </font>
    <font>
      <sz val="10.0"/>
      <color theme="1"/>
      <name val="Calibri"/>
    </font>
    <font>
      <sz val="10.0"/>
      <color rgb="FFFF0000"/>
      <name val="Calibri"/>
    </font>
    <font>
      <sz val="10.0"/>
      <color rgb="FF000000"/>
      <name val="Calibri"/>
    </font>
    <font>
      <sz val="11.0"/>
      <color theme="1"/>
      <name val="Calibri"/>
    </font>
    <font>
      <sz val="10.0"/>
      <color rgb="FF333333"/>
      <name val="Calibri"/>
    </font>
    <font>
      <color theme="1"/>
      <name val="Calibri"/>
    </font>
    <font>
      <sz val="10.0"/>
      <color theme="1"/>
      <name val="Verdana"/>
    </font>
    <font>
      <sz val="9.0"/>
      <color rgb="FF000000"/>
      <name val="Arial"/>
    </font>
    <font>
      <sz val="9.0"/>
      <color rgb="FF000000"/>
      <name val="Calibri"/>
    </font>
    <font>
      <color theme="1"/>
      <name val="Verdana"/>
    </font>
    <font>
      <sz val="11.0"/>
      <color theme="1"/>
      <name val="Verdana"/>
    </font>
    <font>
      <u/>
      <color rgb="FF0000FF"/>
    </font>
    <font>
      <b/>
      <sz val="11.0"/>
      <color rgb="FF000000"/>
      <name val="Arial Narrow"/>
    </font>
    <font>
      <color rgb="FF000000"/>
      <name val="Calibri"/>
    </font>
    <font>
      <sz val="8.0"/>
      <color rgb="FF333333"/>
      <name val="Arial"/>
    </font>
    <font>
      <b/>
      <sz val="9.0"/>
      <color rgb="FF000000"/>
      <name val="Calibri"/>
    </font>
    <font>
      <sz val="11.0"/>
      <color rgb="FF000000"/>
      <name val="Arial Narrow"/>
    </font>
    <font>
      <sz val="9.0"/>
      <color rgb="FF333333"/>
      <name val="Calibri"/>
    </font>
    <font>
      <sz val="9.0"/>
      <color rgb="FF9C0006"/>
      <name val="Calibri"/>
    </font>
    <font>
      <sz val="11.0"/>
      <color rgb="FF000000"/>
      <name val="Calibri"/>
    </font>
    <font>
      <sz val="7.0"/>
      <color rgb="FF333333"/>
      <name val="Arial"/>
    </font>
    <font>
      <b/>
      <color theme="1"/>
      <name val="Calibri"/>
    </font>
    <font>
      <b/>
      <color rgb="FF000000"/>
      <name val="Calibri"/>
    </font>
  </fonts>
  <fills count="11">
    <fill>
      <patternFill patternType="none"/>
    </fill>
    <fill>
      <patternFill patternType="lightGray"/>
    </fill>
    <fill>
      <patternFill patternType="solid">
        <fgColor rgb="FF2E75B5"/>
        <bgColor rgb="FF2E75B5"/>
      </patternFill>
    </fill>
    <fill>
      <patternFill patternType="solid">
        <fgColor rgb="FFDEEAF6"/>
        <bgColor rgb="FFDEEAF6"/>
      </patternFill>
    </fill>
    <fill>
      <patternFill patternType="solid">
        <fgColor rgb="FFFFFFFF"/>
        <bgColor rgb="FFFFFFFF"/>
      </patternFill>
    </fill>
    <fill>
      <patternFill patternType="solid">
        <fgColor theme="0"/>
        <bgColor theme="0"/>
      </patternFill>
    </fill>
    <fill>
      <patternFill patternType="solid">
        <fgColor rgb="FF92D050"/>
        <bgColor rgb="FF92D050"/>
      </patternFill>
    </fill>
    <fill>
      <patternFill patternType="solid">
        <fgColor rgb="FFF5F5F5"/>
        <bgColor rgb="FFF5F5F5"/>
      </patternFill>
    </fill>
    <fill>
      <patternFill patternType="solid">
        <fgColor rgb="FFF9F9F9"/>
        <bgColor rgb="FFF9F9F9"/>
      </patternFill>
    </fill>
    <fill>
      <patternFill patternType="solid">
        <fgColor rgb="FFFFC7CE"/>
        <bgColor rgb="FFFFC7CE"/>
      </patternFill>
    </fill>
    <fill>
      <patternFill patternType="solid">
        <fgColor rgb="FFFFFF00"/>
        <bgColor rgb="FFFFFF00"/>
      </patternFill>
    </fill>
  </fills>
  <borders count="7">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s>
  <cellStyleXfs count="1">
    <xf borderId="0" fillId="0" fontId="0" numFmtId="0" applyAlignment="1" applyFont="1"/>
  </cellStyleXfs>
  <cellXfs count="119">
    <xf borderId="0" fillId="0" fontId="0" numFmtId="0" xfId="0" applyAlignment="1" applyFont="1">
      <alignment readingOrder="0" shrinkToFit="0" vertical="bottom" wrapText="0"/>
    </xf>
    <xf borderId="1" fillId="2" fontId="1" numFmtId="0" xfId="0" applyAlignment="1" applyBorder="1" applyFill="1" applyFont="1">
      <alignment horizontal="center" readingOrder="0" shrinkToFit="0" vertical="center" wrapText="1"/>
    </xf>
    <xf borderId="2" fillId="0" fontId="2" numFmtId="0" xfId="0" applyBorder="1" applyFont="1"/>
    <xf borderId="3" fillId="0" fontId="2" numFmtId="0" xfId="0" applyBorder="1" applyFont="1"/>
    <xf borderId="4" fillId="2" fontId="1" numFmtId="0" xfId="0" applyAlignment="1" applyBorder="1" applyFont="1">
      <alignment horizontal="center" shrinkToFit="0" vertical="center" wrapText="1"/>
    </xf>
    <xf borderId="4" fillId="3" fontId="3" numFmtId="0" xfId="0" applyAlignment="1" applyBorder="1" applyFill="1" applyFont="1">
      <alignment horizontal="center" vertical="center"/>
    </xf>
    <xf borderId="4" fillId="3" fontId="3" numFmtId="0" xfId="0" applyAlignment="1" applyBorder="1" applyFont="1">
      <alignment horizontal="center" shrinkToFit="0" vertical="center" wrapText="1"/>
    </xf>
    <xf borderId="4" fillId="0" fontId="4" numFmtId="0" xfId="0" applyAlignment="1" applyBorder="1" applyFont="1">
      <alignment horizontal="center" vertical="center"/>
    </xf>
    <xf borderId="4" fillId="0" fontId="4" numFmtId="0" xfId="0" applyAlignment="1" applyBorder="1" applyFont="1">
      <alignment horizontal="center" shrinkToFit="0" vertical="center" wrapText="1"/>
    </xf>
    <xf borderId="4" fillId="0" fontId="4" numFmtId="0" xfId="0" applyAlignment="1" applyBorder="1" applyFont="1">
      <alignment horizontal="left" shrinkToFit="0" vertical="center" wrapText="1"/>
    </xf>
    <xf borderId="4" fillId="0" fontId="4" numFmtId="164" xfId="0" applyAlignment="1" applyBorder="1" applyFont="1" applyNumberFormat="1">
      <alignment horizontal="center" vertical="center"/>
    </xf>
    <xf borderId="4" fillId="0" fontId="5" numFmtId="164" xfId="0" applyAlignment="1" applyBorder="1" applyFont="1" applyNumberFormat="1">
      <alignment horizontal="center" vertical="center"/>
    </xf>
    <xf borderId="4" fillId="0" fontId="4" numFmtId="9" xfId="0" applyAlignment="1" applyBorder="1" applyFont="1" applyNumberFormat="1">
      <alignment horizontal="center" vertical="center"/>
    </xf>
    <xf borderId="4" fillId="0" fontId="4" numFmtId="165" xfId="0" applyAlignment="1" applyBorder="1" applyFont="1" applyNumberFormat="1">
      <alignment horizontal="center" vertical="center"/>
    </xf>
    <xf borderId="4" fillId="0" fontId="6" numFmtId="166" xfId="0" applyAlignment="1" applyBorder="1" applyFont="1" applyNumberFormat="1">
      <alignment horizontal="center" shrinkToFit="0" vertical="center" wrapText="1"/>
    </xf>
    <xf borderId="4" fillId="0" fontId="6" numFmtId="0" xfId="0" applyAlignment="1" applyBorder="1" applyFont="1">
      <alignment horizontal="center" shrinkToFit="0" vertical="center" wrapText="1"/>
    </xf>
    <xf borderId="4" fillId="0" fontId="5" numFmtId="166" xfId="0" applyAlignment="1" applyBorder="1" applyFont="1" applyNumberFormat="1">
      <alignment horizontal="center" shrinkToFit="0" vertical="center" wrapText="1"/>
    </xf>
    <xf borderId="4" fillId="0" fontId="4" numFmtId="167" xfId="0" applyAlignment="1" applyBorder="1" applyFont="1" applyNumberFormat="1">
      <alignment horizontal="center" shrinkToFit="0" vertical="center" wrapText="1"/>
    </xf>
    <xf borderId="4" fillId="0" fontId="4" numFmtId="168" xfId="0" applyAlignment="1" applyBorder="1" applyFont="1" applyNumberFormat="1">
      <alignment horizontal="center" shrinkToFit="0" vertical="center" wrapText="1"/>
    </xf>
    <xf borderId="4" fillId="0" fontId="6" numFmtId="168" xfId="0" applyAlignment="1" applyBorder="1" applyFont="1" applyNumberFormat="1">
      <alignment horizontal="center" shrinkToFit="0" vertical="center" wrapText="1"/>
    </xf>
    <xf borderId="4" fillId="0" fontId="5" numFmtId="164" xfId="0" applyAlignment="1" applyBorder="1" applyFont="1" applyNumberFormat="1">
      <alignment horizontal="center" readingOrder="0" vertical="center"/>
    </xf>
    <xf borderId="4" fillId="0" fontId="4" numFmtId="0" xfId="0" applyAlignment="1" applyBorder="1" applyFont="1">
      <alignment horizontal="center" readingOrder="0" shrinkToFit="0" vertical="center" wrapText="1"/>
    </xf>
    <xf borderId="4" fillId="0" fontId="4" numFmtId="3" xfId="0" applyAlignment="1" applyBorder="1" applyFont="1" applyNumberFormat="1">
      <alignment horizontal="center" vertical="center"/>
    </xf>
    <xf borderId="4" fillId="0" fontId="4" numFmtId="166" xfId="0" applyAlignment="1" applyBorder="1" applyFont="1" applyNumberFormat="1">
      <alignment horizontal="center" shrinkToFit="0" vertical="center" wrapText="1"/>
    </xf>
    <xf borderId="4" fillId="0" fontId="4" numFmtId="3" xfId="0" applyAlignment="1" applyBorder="1" applyFont="1" applyNumberFormat="1">
      <alignment horizontal="center" shrinkToFit="0" vertical="center" wrapText="1"/>
    </xf>
    <xf borderId="4" fillId="0" fontId="7" numFmtId="0" xfId="0" applyAlignment="1" applyBorder="1" applyFont="1">
      <alignment horizontal="center" shrinkToFit="0" wrapText="1"/>
    </xf>
    <xf borderId="4" fillId="0" fontId="7" numFmtId="169" xfId="0" applyAlignment="1" applyBorder="1" applyFont="1" applyNumberFormat="1">
      <alignment horizontal="center" shrinkToFit="0" wrapText="1"/>
    </xf>
    <xf borderId="4" fillId="0" fontId="7" numFmtId="0" xfId="0" applyAlignment="1" applyBorder="1" applyFont="1">
      <alignment horizontal="center" shrinkToFit="0" vertical="center" wrapText="1"/>
    </xf>
    <xf borderId="4" fillId="4" fontId="7" numFmtId="0" xfId="0" applyAlignment="1" applyBorder="1" applyFill="1" applyFont="1">
      <alignment horizontal="center" shrinkToFit="0" wrapText="1"/>
    </xf>
    <xf borderId="4" fillId="0" fontId="4" numFmtId="1" xfId="0" applyAlignment="1" applyBorder="1" applyFont="1" applyNumberFormat="1">
      <alignment horizontal="center" shrinkToFit="0" vertical="center" wrapText="1"/>
    </xf>
    <xf borderId="4" fillId="0" fontId="4" numFmtId="170" xfId="0" applyAlignment="1" applyBorder="1" applyFont="1" applyNumberFormat="1">
      <alignment horizontal="center" shrinkToFit="0" vertical="center" wrapText="1"/>
    </xf>
    <xf borderId="4" fillId="4" fontId="6" numFmtId="0" xfId="0" applyAlignment="1" applyBorder="1" applyFont="1">
      <alignment horizontal="left"/>
    </xf>
    <xf borderId="4" fillId="0" fontId="4" numFmtId="0" xfId="0" applyAlignment="1" applyBorder="1" applyFont="1">
      <alignment horizontal="center" shrinkToFit="0" wrapText="1"/>
    </xf>
    <xf borderId="4" fillId="0" fontId="4" numFmtId="169" xfId="0" applyAlignment="1" applyBorder="1" applyFont="1" applyNumberFormat="1">
      <alignment horizontal="center" shrinkToFit="0" vertical="center" wrapText="1"/>
    </xf>
    <xf borderId="4" fillId="0" fontId="5" numFmtId="170" xfId="0" applyAlignment="1" applyBorder="1" applyFont="1" applyNumberFormat="1">
      <alignment horizontal="center" vertical="center"/>
    </xf>
    <xf borderId="4" fillId="4" fontId="4" numFmtId="0" xfId="0" applyAlignment="1" applyBorder="1" applyFont="1">
      <alignment horizontal="center" shrinkToFit="0" vertical="center" wrapText="1"/>
    </xf>
    <xf borderId="4" fillId="4" fontId="4" numFmtId="0" xfId="0" applyAlignment="1" applyBorder="1" applyFont="1">
      <alignment horizontal="center"/>
    </xf>
    <xf borderId="4" fillId="4" fontId="4" numFmtId="169" xfId="0" applyAlignment="1" applyBorder="1" applyFont="1" applyNumberFormat="1">
      <alignment horizontal="center" shrinkToFit="0" wrapText="1"/>
    </xf>
    <xf borderId="4" fillId="4" fontId="4" numFmtId="169" xfId="0" applyAlignment="1" applyBorder="1" applyFont="1" applyNumberFormat="1">
      <alignment horizontal="center"/>
    </xf>
    <xf borderId="4" fillId="4" fontId="6" numFmtId="0" xfId="0" applyAlignment="1" applyBorder="1" applyFont="1">
      <alignment horizontal="left" shrinkToFit="0" wrapText="1"/>
    </xf>
    <xf borderId="4" fillId="4" fontId="4" numFmtId="0" xfId="0" applyAlignment="1" applyBorder="1" applyFont="1">
      <alignment horizontal="center" shrinkToFit="0" wrapText="1"/>
    </xf>
    <xf borderId="4" fillId="4" fontId="8" numFmtId="0" xfId="0" applyBorder="1" applyFont="1"/>
    <xf borderId="0" fillId="5" fontId="4" numFmtId="0" xfId="0" applyAlignment="1" applyFill="1" applyFont="1">
      <alignment horizontal="center" shrinkToFit="0" wrapText="1"/>
    </xf>
    <xf borderId="4" fillId="4" fontId="4" numFmtId="168" xfId="0" applyAlignment="1" applyBorder="1" applyFont="1" applyNumberFormat="1">
      <alignment horizontal="center" shrinkToFit="0" wrapText="1"/>
    </xf>
    <xf borderId="4" fillId="4" fontId="4" numFmtId="170" xfId="0" applyAlignment="1" applyBorder="1" applyFont="1" applyNumberFormat="1">
      <alignment horizontal="center" shrinkToFit="0" vertical="center" wrapText="1"/>
    </xf>
    <xf borderId="4" fillId="0" fontId="4" numFmtId="168" xfId="0" applyAlignment="1" applyBorder="1" applyFont="1" applyNumberFormat="1">
      <alignment horizontal="center" shrinkToFit="0" wrapText="1"/>
    </xf>
    <xf borderId="4" fillId="0" fontId="4" numFmtId="169" xfId="0" applyAlignment="1" applyBorder="1" applyFont="1" applyNumberFormat="1">
      <alignment horizontal="center" shrinkToFit="0" wrapText="1"/>
    </xf>
    <xf borderId="4" fillId="0" fontId="4" numFmtId="0" xfId="0" applyAlignment="1" applyBorder="1" applyFont="1">
      <alignment horizontal="center"/>
    </xf>
    <xf borderId="4" fillId="0" fontId="4" numFmtId="169" xfId="0" applyAlignment="1" applyBorder="1" applyFont="1" applyNumberFormat="1">
      <alignment horizontal="center"/>
    </xf>
    <xf borderId="4" fillId="4" fontId="4" numFmtId="171" xfId="0" applyAlignment="1" applyBorder="1" applyFont="1" applyNumberFormat="1">
      <alignment horizontal="center" shrinkToFit="0" wrapText="1"/>
    </xf>
    <xf borderId="4" fillId="4" fontId="6" numFmtId="0" xfId="0" applyAlignment="1" applyBorder="1" applyFont="1">
      <alignment horizontal="center" shrinkToFit="0" vertical="center" wrapText="1"/>
    </xf>
    <xf borderId="0" fillId="0" fontId="4" numFmtId="0" xfId="0" applyFont="1"/>
    <xf borderId="0" fillId="0" fontId="9" numFmtId="0" xfId="0" applyFont="1"/>
    <xf borderId="4" fillId="0" fontId="10" numFmtId="1" xfId="0" applyAlignment="1" applyBorder="1" applyFont="1" applyNumberFormat="1">
      <alignment horizontal="center" shrinkToFit="0" vertical="center" wrapText="1"/>
    </xf>
    <xf borderId="4" fillId="4" fontId="11" numFmtId="0" xfId="0" applyAlignment="1" applyBorder="1" applyFont="1">
      <alignment horizontal="left"/>
    </xf>
    <xf borderId="4" fillId="0" fontId="6" numFmtId="171" xfId="0" applyAlignment="1" applyBorder="1" applyFont="1" applyNumberFormat="1">
      <alignment horizontal="center" shrinkToFit="0" vertical="center" wrapText="1"/>
    </xf>
    <xf borderId="4" fillId="0" fontId="4" numFmtId="49" xfId="0" applyAlignment="1" applyBorder="1" applyFont="1" applyNumberFormat="1">
      <alignment horizontal="center" shrinkToFit="0" vertical="center" wrapText="1"/>
    </xf>
    <xf borderId="4" fillId="4" fontId="12" numFmtId="0" xfId="0" applyAlignment="1" applyBorder="1" applyFont="1">
      <alignment horizontal="left"/>
    </xf>
    <xf borderId="0" fillId="0" fontId="9" numFmtId="0" xfId="0" applyAlignment="1" applyFont="1">
      <alignment shrinkToFit="0" wrapText="1"/>
    </xf>
    <xf borderId="0" fillId="0" fontId="4" numFmtId="0" xfId="0" applyAlignment="1" applyFont="1">
      <alignment shrinkToFit="0" vertical="center" wrapText="1"/>
    </xf>
    <xf borderId="4" fillId="0" fontId="10" numFmtId="0" xfId="0" applyAlignment="1" applyBorder="1" applyFont="1">
      <alignment horizontal="left" shrinkToFit="0" vertical="center" wrapText="1"/>
    </xf>
    <xf borderId="4" fillId="0" fontId="13" numFmtId="0" xfId="0" applyAlignment="1" applyBorder="1" applyFont="1">
      <alignment horizontal="center" shrinkToFit="0" wrapText="1"/>
    </xf>
    <xf borderId="4" fillId="0" fontId="14" numFmtId="169" xfId="0" applyAlignment="1" applyBorder="1" applyFont="1" applyNumberFormat="1">
      <alignment horizontal="center" shrinkToFit="0" vertical="center" wrapText="1"/>
    </xf>
    <xf borderId="4" fillId="0" fontId="14" numFmtId="170" xfId="0" applyAlignment="1" applyBorder="1" applyFont="1" applyNumberFormat="1">
      <alignment horizontal="center" shrinkToFit="0" vertical="center" wrapText="1"/>
    </xf>
    <xf borderId="4" fillId="0" fontId="9" numFmtId="0" xfId="0" applyBorder="1" applyFont="1"/>
    <xf borderId="4" fillId="0" fontId="7" numFmtId="0" xfId="0" applyAlignment="1" applyBorder="1" applyFont="1">
      <alignment shrinkToFit="0" wrapText="1"/>
    </xf>
    <xf borderId="4" fillId="0" fontId="4" numFmtId="0" xfId="0" applyAlignment="1" applyBorder="1" applyFont="1">
      <alignment shrinkToFit="0" wrapText="1"/>
    </xf>
    <xf borderId="4" fillId="0" fontId="9" numFmtId="0" xfId="0" applyAlignment="1" applyBorder="1" applyFont="1">
      <alignment shrinkToFit="0" vertical="center" wrapText="1"/>
    </xf>
    <xf borderId="4" fillId="0" fontId="9" numFmtId="0" xfId="0" applyAlignment="1" applyBorder="1" applyFont="1">
      <alignment shrinkToFit="0" wrapText="1"/>
    </xf>
    <xf borderId="0" fillId="0" fontId="9" numFmtId="168" xfId="0" applyFont="1" applyNumberFormat="1"/>
    <xf borderId="0" fillId="0" fontId="9" numFmtId="167" xfId="0" applyFont="1" applyNumberFormat="1"/>
    <xf borderId="0" fillId="0" fontId="9" numFmtId="3" xfId="0" applyFont="1" applyNumberFormat="1"/>
    <xf borderId="0" fillId="0" fontId="9" numFmtId="4" xfId="0" applyFont="1" applyNumberFormat="1"/>
    <xf borderId="0" fillId="0" fontId="15" numFmtId="0" xfId="0" applyFont="1"/>
    <xf borderId="4" fillId="6" fontId="16" numFmtId="0" xfId="0" applyAlignment="1" applyBorder="1" applyFill="1" applyFont="1">
      <alignment horizontal="center"/>
    </xf>
    <xf borderId="3" fillId="6" fontId="16" numFmtId="0" xfId="0" applyAlignment="1" applyBorder="1" applyFont="1">
      <alignment horizontal="center"/>
    </xf>
    <xf borderId="3" fillId="6" fontId="16" numFmtId="0" xfId="0" applyAlignment="1" applyBorder="1" applyFont="1">
      <alignment horizontal="left"/>
    </xf>
    <xf borderId="5" fillId="0" fontId="12" numFmtId="0" xfId="0" applyAlignment="1" applyBorder="1" applyFont="1">
      <alignment horizontal="center" shrinkToFit="0" vertical="bottom" wrapText="0"/>
    </xf>
    <xf borderId="6" fillId="0" fontId="12" numFmtId="0" xfId="0" applyAlignment="1" applyBorder="1" applyFont="1">
      <alignment shrinkToFit="0" vertical="bottom" wrapText="0"/>
    </xf>
    <xf borderId="6" fillId="0" fontId="12" numFmtId="0" xfId="0" applyAlignment="1" applyBorder="1" applyFont="1">
      <alignment horizontal="right" shrinkToFit="0" vertical="bottom" wrapText="0"/>
    </xf>
    <xf borderId="6" fillId="0" fontId="12" numFmtId="168" xfId="0" applyAlignment="1" applyBorder="1" applyFont="1" applyNumberFormat="1">
      <alignment horizontal="right" shrinkToFit="0" vertical="bottom" wrapText="0"/>
    </xf>
    <xf borderId="6" fillId="0" fontId="12" numFmtId="0" xfId="0" applyAlignment="1" applyBorder="1" applyFont="1">
      <alignment horizontal="center" shrinkToFit="0" vertical="bottom" wrapText="0"/>
    </xf>
    <xf borderId="6" fillId="0" fontId="12" numFmtId="0" xfId="0" applyAlignment="1" applyBorder="1" applyFont="1">
      <alignment horizontal="left" shrinkToFit="0" vertical="bottom" wrapText="0"/>
    </xf>
    <xf borderId="6" fillId="0" fontId="17" numFmtId="0" xfId="0" applyAlignment="1" applyBorder="1" applyFont="1">
      <alignment shrinkToFit="0" vertical="bottom" wrapText="0"/>
    </xf>
    <xf borderId="6" fillId="0" fontId="17" numFmtId="171" xfId="0" applyAlignment="1" applyBorder="1" applyFont="1" applyNumberFormat="1">
      <alignment horizontal="center" shrinkToFit="0" vertical="bottom" wrapText="0"/>
    </xf>
    <xf borderId="6" fillId="0" fontId="12" numFmtId="4" xfId="0" applyAlignment="1" applyBorder="1" applyFont="1" applyNumberFormat="1">
      <alignment shrinkToFit="0" vertical="bottom" wrapText="0"/>
    </xf>
    <xf borderId="0" fillId="7" fontId="18" numFmtId="0" xfId="0" applyAlignment="1" applyFill="1" applyFont="1">
      <alignment horizontal="right" shrinkToFit="0" vertical="bottom" wrapText="0"/>
    </xf>
    <xf borderId="5" fillId="0" fontId="12" numFmtId="0" xfId="0" applyAlignment="1" applyBorder="1" applyFont="1">
      <alignment shrinkToFit="0" vertical="bottom" wrapText="0"/>
    </xf>
    <xf borderId="3" fillId="0" fontId="12" numFmtId="0" xfId="0" applyAlignment="1" applyBorder="1" applyFont="1">
      <alignment horizontal="right" shrinkToFit="0" vertical="bottom" wrapText="0"/>
    </xf>
    <xf borderId="4" fillId="6" fontId="19" numFmtId="0" xfId="0" applyAlignment="1" applyBorder="1" applyFont="1">
      <alignment horizontal="center" vertical="bottom"/>
    </xf>
    <xf borderId="3" fillId="6" fontId="19" numFmtId="0" xfId="0" applyAlignment="1" applyBorder="1" applyFont="1">
      <alignment horizontal="center" vertical="bottom"/>
    </xf>
    <xf borderId="0" fillId="0" fontId="20" numFmtId="0" xfId="0" applyAlignment="1" applyFont="1">
      <alignment shrinkToFit="0" vertical="bottom" wrapText="0"/>
    </xf>
    <xf borderId="6" fillId="0" fontId="12" numFmtId="0" xfId="0" applyAlignment="1" applyBorder="1" applyFont="1">
      <alignment horizontal="center" vertical="bottom"/>
    </xf>
    <xf borderId="6" fillId="0" fontId="12" numFmtId="4" xfId="0" applyAlignment="1" applyBorder="1" applyFont="1" applyNumberFormat="1">
      <alignment horizontal="center" shrinkToFit="0" vertical="bottom" wrapText="0"/>
    </xf>
    <xf borderId="6" fillId="0" fontId="12" numFmtId="171" xfId="0" applyAlignment="1" applyBorder="1" applyFont="1" applyNumberFormat="1">
      <alignment horizontal="center" shrinkToFit="0" vertical="bottom" wrapText="0"/>
    </xf>
    <xf borderId="0" fillId="0" fontId="12" numFmtId="0" xfId="0" applyAlignment="1" applyFont="1">
      <alignment shrinkToFit="0" vertical="bottom" wrapText="0"/>
    </xf>
    <xf borderId="6" fillId="8" fontId="21" numFmtId="0" xfId="0" applyAlignment="1" applyBorder="1" applyFill="1" applyFont="1">
      <alignment horizontal="right" shrinkToFit="0" vertical="bottom" wrapText="0"/>
    </xf>
    <xf borderId="6" fillId="0" fontId="12" numFmtId="0" xfId="0" applyAlignment="1" applyBorder="1" applyFont="1">
      <alignment horizontal="right" vertical="bottom"/>
    </xf>
    <xf borderId="4" fillId="9" fontId="22" numFmtId="0" xfId="0" applyAlignment="1" applyBorder="1" applyFill="1" applyFont="1">
      <alignment horizontal="left" shrinkToFit="0" vertical="bottom" wrapText="0"/>
    </xf>
    <xf borderId="6" fillId="0" fontId="12" numFmtId="0" xfId="0" applyAlignment="1" applyBorder="1" applyFont="1">
      <alignment horizontal="left" vertical="bottom"/>
    </xf>
    <xf borderId="0" fillId="0" fontId="23" numFmtId="0" xfId="0" applyAlignment="1" applyFont="1">
      <alignment shrinkToFit="0" vertical="bottom" wrapText="0"/>
    </xf>
    <xf borderId="0" fillId="0" fontId="23" numFmtId="0" xfId="0" applyAlignment="1" applyFont="1">
      <alignment horizontal="right" shrinkToFit="0" vertical="bottom" wrapText="0"/>
    </xf>
    <xf borderId="4" fillId="0" fontId="19" numFmtId="0" xfId="0" applyAlignment="1" applyBorder="1" applyFont="1">
      <alignment horizontal="center"/>
    </xf>
    <xf borderId="3" fillId="6" fontId="19" numFmtId="0" xfId="0" applyAlignment="1" applyBorder="1" applyFont="1">
      <alignment horizontal="center"/>
    </xf>
    <xf borderId="6" fillId="0" fontId="21" numFmtId="0" xfId="0" applyAlignment="1" applyBorder="1" applyFont="1">
      <alignment horizontal="right" shrinkToFit="0" vertical="bottom" wrapText="0"/>
    </xf>
    <xf borderId="3" fillId="0" fontId="12" numFmtId="0" xfId="0" applyAlignment="1" applyBorder="1" applyFont="1">
      <alignment shrinkToFit="0" vertical="bottom" wrapText="0"/>
    </xf>
    <xf borderId="6" fillId="0" fontId="21" numFmtId="0" xfId="0" applyAlignment="1" applyBorder="1" applyFont="1">
      <alignment shrinkToFit="0" vertical="bottom" wrapText="0"/>
    </xf>
    <xf borderId="0" fillId="0" fontId="18" numFmtId="0" xfId="0" applyAlignment="1" applyFont="1">
      <alignment shrinkToFit="0" vertical="bottom" wrapText="0"/>
    </xf>
    <xf borderId="0" fillId="0" fontId="24" numFmtId="0" xfId="0" applyAlignment="1" applyFont="1">
      <alignment shrinkToFit="0" vertical="bottom" wrapText="0"/>
    </xf>
    <xf borderId="3" fillId="0" fontId="21" numFmtId="0" xfId="0" applyAlignment="1" applyBorder="1" applyFont="1">
      <alignment shrinkToFit="0" vertical="bottom" wrapText="0"/>
    </xf>
    <xf borderId="3" fillId="0" fontId="12" numFmtId="0" xfId="0" applyAlignment="1" applyBorder="1" applyFont="1">
      <alignment horizontal="center" shrinkToFit="0" vertical="bottom" wrapText="0"/>
    </xf>
    <xf borderId="6" fillId="0" fontId="17" numFmtId="0" xfId="0" applyAlignment="1" applyBorder="1" applyFont="1">
      <alignment horizontal="center" shrinkToFit="0" vertical="bottom" wrapText="0"/>
    </xf>
    <xf borderId="0" fillId="10" fontId="25" numFmtId="0" xfId="0" applyFill="1" applyFont="1"/>
    <xf borderId="0" fillId="0" fontId="9" numFmtId="171" xfId="0" applyFont="1" applyNumberFormat="1"/>
    <xf borderId="0" fillId="0" fontId="25" numFmtId="0" xfId="0" applyFont="1"/>
    <xf borderId="0" fillId="10" fontId="26" numFmtId="0" xfId="0" applyFont="1"/>
    <xf borderId="0" fillId="10" fontId="26" numFmtId="164" xfId="0" applyFont="1" applyNumberFormat="1"/>
    <xf borderId="0" fillId="0" fontId="9" numFmtId="164" xfId="0" applyFont="1" applyNumberFormat="1"/>
    <xf borderId="0" fillId="0" fontId="9" numFmtId="164" xfId="0" applyAlignment="1" applyFont="1" applyNumberForma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4" Type="http://customschemas.google.com/relationships/workbookmetadata" Target="metadata"/><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40" Type="http://schemas.openxmlformats.org/officeDocument/2006/relationships/hyperlink" Target="https://community.secop.gov.co/Public/Tendering/ContractNoticePhases/View?PPI=CO1.PPI.36567195&amp;isFromPublicArea=True&amp;isModal=False" TargetMode="External"/><Relationship Id="rId190" Type="http://schemas.openxmlformats.org/officeDocument/2006/relationships/hyperlink" Target="https://community.secop.gov.co/Public/Tendering/ContractNoticePhases/View?PPI=CO1.PPI.37067303&amp;isFromPublicArea=True&amp;isModal=False" TargetMode="External"/><Relationship Id="rId42" Type="http://schemas.openxmlformats.org/officeDocument/2006/relationships/hyperlink" Target="https://community.secop.gov.co/Public/Tendering/ContractNoticePhases/View?PPI=CO1.PPI.36556148&amp;isFromPublicArea=True&amp;isModal=False" TargetMode="External"/><Relationship Id="rId41" Type="http://schemas.openxmlformats.org/officeDocument/2006/relationships/hyperlink" Target="https://www1.funcionpublica.gov.co/web/sigep2/hdv/-/directorio/S319511-0880-5/view" TargetMode="External"/><Relationship Id="rId44" Type="http://schemas.openxmlformats.org/officeDocument/2006/relationships/hyperlink" Target="https://community.secop.gov.co/Public/Tendering/ContractNoticePhases/View?PPI=CO1.PPI.36556199&amp;isFromPublicArea=True&amp;isModal=False" TargetMode="External"/><Relationship Id="rId194" Type="http://schemas.openxmlformats.org/officeDocument/2006/relationships/hyperlink" Target="https://community.secop.gov.co/Public/Tendering/ContractNoticePhases/View?PPI=CO1.PPI.37075769&amp;isFromPublicArea=True&amp;isModal=False" TargetMode="External"/><Relationship Id="rId43" Type="http://schemas.openxmlformats.org/officeDocument/2006/relationships/hyperlink" Target="https://www1.funcionpublica.gov.co/web/sigep2/hdv/-/directorio/S4863668-0880-5/view" TargetMode="External"/><Relationship Id="rId193" Type="http://schemas.openxmlformats.org/officeDocument/2006/relationships/hyperlink" Target="https://community.secop.gov.co/Public/Tendering/ContractNoticePhases/View?PPI=CO1.PPI.37163779&amp;isFromPublicArea=True&amp;isModal=False" TargetMode="External"/><Relationship Id="rId46" Type="http://schemas.openxmlformats.org/officeDocument/2006/relationships/hyperlink" Target="https://community.secop.gov.co/Public/Tendering/ContractNoticePhases/View?PPI=CO1.PPI.36557644&amp;isFromPublicArea=True&amp;isModal=False" TargetMode="External"/><Relationship Id="rId192" Type="http://schemas.openxmlformats.org/officeDocument/2006/relationships/hyperlink" Target="https://community.secop.gov.co/Public/Tendering/ContractNoticePhases/View?PPI=CO1.PPI.37071435&amp;isFromPublicArea=True&amp;isModal=False" TargetMode="External"/><Relationship Id="rId45" Type="http://schemas.openxmlformats.org/officeDocument/2006/relationships/hyperlink" Target="https://www1.funcionpublica.gov.co/web/sigep2/hdv/-/directorio/S4649840-0880-5/view" TargetMode="External"/><Relationship Id="rId191" Type="http://schemas.openxmlformats.org/officeDocument/2006/relationships/hyperlink" Target="https://community.secop.gov.co/Public/Tendering/ContractNoticePhases/View?PPI=CO1.PPI.37068870&amp;isFromPublicArea=True&amp;isModal=False" TargetMode="External"/><Relationship Id="rId48" Type="http://schemas.openxmlformats.org/officeDocument/2006/relationships/hyperlink" Target="https://community.secop.gov.co/Public/Tendering/ContractNoticePhases/View?PPI=CO1.PPI.36559224&amp;isFromPublicArea=True&amp;isModal=False" TargetMode="External"/><Relationship Id="rId187" Type="http://schemas.openxmlformats.org/officeDocument/2006/relationships/hyperlink" Target="https://community.secop.gov.co/Public/Tendering/ContractNoticePhases/View?PPI=CO1.PPI.37058755&amp;isFromPublicArea=True&amp;isModal=False" TargetMode="External"/><Relationship Id="rId47" Type="http://schemas.openxmlformats.org/officeDocument/2006/relationships/hyperlink" Target="https://www1.funcionpublica.gov.co/web/sigep2/hdv/-/directorio/S167954-0880-5/view" TargetMode="External"/><Relationship Id="rId186" Type="http://schemas.openxmlformats.org/officeDocument/2006/relationships/hyperlink" Target="https://community.secop.gov.co/Public/Tendering/ContractNoticePhases/View?PPI=CO1.PPI.37060815&amp;isFromPublicArea=True&amp;isModal=False" TargetMode="External"/><Relationship Id="rId185" Type="http://schemas.openxmlformats.org/officeDocument/2006/relationships/hyperlink" Target="https://community.secop.gov.co/Public/Tendering/ContractNoticePhases/View?PPI=CO1.PPI.37068444&amp;isFromPublicArea=True&amp;isModal=False" TargetMode="External"/><Relationship Id="rId49" Type="http://schemas.openxmlformats.org/officeDocument/2006/relationships/hyperlink" Target="https://www1.funcionpublica.gov.co/web/sigep2/hdv/-/directorio/S2333720-0880-5/view" TargetMode="External"/><Relationship Id="rId184" Type="http://schemas.openxmlformats.org/officeDocument/2006/relationships/hyperlink" Target="https://community.secop.gov.co/Public/Tendering/ContractNoticePhases/View?PPI=CO1.PPI.37052489&amp;isFromPublicArea=True&amp;isModal=False" TargetMode="External"/><Relationship Id="rId189" Type="http://schemas.openxmlformats.org/officeDocument/2006/relationships/hyperlink" Target="https://community.secop.gov.co/Public/Tendering/ContractNoticePhases/View?PPI=CO1.PPI.37062456&amp;isFromPublicArea=True&amp;isModal=False" TargetMode="External"/><Relationship Id="rId188" Type="http://schemas.openxmlformats.org/officeDocument/2006/relationships/hyperlink" Target="https://community.secop.gov.co/Public/Tendering/ContractNoticePhases/View?PPI=CO1.PPI.37059548&amp;isFromPublicArea=True&amp;isModal=False" TargetMode="External"/><Relationship Id="rId31" Type="http://schemas.openxmlformats.org/officeDocument/2006/relationships/hyperlink" Target="https://www1.funcionpublica.gov.co/web/sigep2/hdv/-/directorio/S5006093-0880-5/view" TargetMode="External"/><Relationship Id="rId30" Type="http://schemas.openxmlformats.org/officeDocument/2006/relationships/hyperlink" Target="https://community.secop.gov.co/Public/Tendering/ContractNoticePhases/View?PPI=CO1.PPI.36540979&amp;isFromPublicArea=True&amp;isModal=False" TargetMode="External"/><Relationship Id="rId33" Type="http://schemas.openxmlformats.org/officeDocument/2006/relationships/hyperlink" Target="https://www1.funcionpublica.gov.co/web/sigep2/hdv/-/directorio/S4808985-0880-5/view" TargetMode="External"/><Relationship Id="rId183" Type="http://schemas.openxmlformats.org/officeDocument/2006/relationships/hyperlink" Target="https://community.secop.gov.co/Public/Tendering/ContractNoticePhases/View?PPI=CO1.PPI.37052139&amp;isFromPublicArea=True&amp;isModal=False" TargetMode="External"/><Relationship Id="rId32" Type="http://schemas.openxmlformats.org/officeDocument/2006/relationships/hyperlink" Target="https://community.secop.gov.co/Public/Tendering/ContractNoticePhases/View?PPI=CO1.PPI.36562335&amp;isFromPublicArea=True&amp;isModal=False" TargetMode="External"/><Relationship Id="rId182" Type="http://schemas.openxmlformats.org/officeDocument/2006/relationships/hyperlink" Target="https://community.secop.gov.co/Public/Tendering/ContractNoticePhases/View?PPI=CO1.PPI.37052442&amp;isFromPublicArea=True&amp;isModal=False" TargetMode="External"/><Relationship Id="rId35" Type="http://schemas.openxmlformats.org/officeDocument/2006/relationships/hyperlink" Target="https://www1.funcionpublica.gov.co/web/sigep2/hdv/-/directorio/S1665004-0880-5/view" TargetMode="External"/><Relationship Id="rId181" Type="http://schemas.openxmlformats.org/officeDocument/2006/relationships/hyperlink" Target="https://community.secop.gov.co/Public/Tendering/ContractNoticePhases/View?PPI=CO1.PPI.37139176&amp;isFromPublicArea=True&amp;isModal=False" TargetMode="External"/><Relationship Id="rId34" Type="http://schemas.openxmlformats.org/officeDocument/2006/relationships/hyperlink" Target="https://community.secop.gov.co/Public/Tendering/ContractNoticePhases/View?PPI=CO1.PPI.36555644&amp;isFromPublicArea=True&amp;isModal=False" TargetMode="External"/><Relationship Id="rId180" Type="http://schemas.openxmlformats.org/officeDocument/2006/relationships/hyperlink" Target="https://community.secop.gov.co/Public/Tendering/ContractNoticePhases/View?PPI=CO1.PPI.37065859&amp;isFromPublicArea=True&amp;isModal=False" TargetMode="External"/><Relationship Id="rId37" Type="http://schemas.openxmlformats.org/officeDocument/2006/relationships/hyperlink" Target="https://www1.funcionpublica.gov.co/web/sigep2/hdv/-/directorio/S486327-0880-5/view" TargetMode="External"/><Relationship Id="rId176" Type="http://schemas.openxmlformats.org/officeDocument/2006/relationships/hyperlink" Target="https://community.secop.gov.co/Public/Tendering/ContractNoticePhases/View?PPI=CO1.PPI.37018440&amp;isFromPublicArea=True&amp;isModal=False" TargetMode="External"/><Relationship Id="rId297" Type="http://schemas.openxmlformats.org/officeDocument/2006/relationships/hyperlink" Target="https://community.secop.gov.co/Public/Tendering/ContractNoticePhases/View?PPI=CO1.PPI.38900103&amp;isFromPublicArea=True&amp;isModal=False" TargetMode="External"/><Relationship Id="rId36" Type="http://schemas.openxmlformats.org/officeDocument/2006/relationships/hyperlink" Target="https://community.secop.gov.co/Public/Tendering/ContractNoticePhases/View?PPI=CO1.PPI.36575341&amp;isFromPublicArea=True&amp;isModal=False" TargetMode="External"/><Relationship Id="rId175" Type="http://schemas.openxmlformats.org/officeDocument/2006/relationships/hyperlink" Target="https://community.secop.gov.co/Public/Tendering/ContractNoticePhases/View?PPI=CO1.PPI.37017151&amp;isFromPublicArea=True&amp;isModal=False" TargetMode="External"/><Relationship Id="rId296" Type="http://schemas.openxmlformats.org/officeDocument/2006/relationships/hyperlink" Target="https://community.secop.gov.co/Public/Tendering/ContractNoticePhases/View?PPI=CO1.PPI.38849746&amp;isFromPublicArea=True&amp;isModal=False" TargetMode="External"/><Relationship Id="rId39" Type="http://schemas.openxmlformats.org/officeDocument/2006/relationships/hyperlink" Target="https://www1.funcionpublica.gov.co/web/sigep2/hdv/-/directorio/S1072734-0880-5/view" TargetMode="External"/><Relationship Id="rId174" Type="http://schemas.openxmlformats.org/officeDocument/2006/relationships/hyperlink" Target="https://community.secop.gov.co/Public/Tendering/ContractNoticePhases/View?PPI=CO1.PPI.36925264&amp;isFromPublicArea=True&amp;isModal=False" TargetMode="External"/><Relationship Id="rId295" Type="http://schemas.openxmlformats.org/officeDocument/2006/relationships/hyperlink" Target="https://community.secop.gov.co/Public/Tendering/ContractNoticePhases/View?PPI=CO1.PPI.38876919&amp;isFromPublicArea=True&amp;isModal=False" TargetMode="External"/><Relationship Id="rId38" Type="http://schemas.openxmlformats.org/officeDocument/2006/relationships/hyperlink" Target="https://community.secop.gov.co/Public/Tendering/ContractNoticePhases/View?PPI=CO1.PPI.36567152&amp;isFromPublicArea=True&amp;isModal=False" TargetMode="External"/><Relationship Id="rId173" Type="http://schemas.openxmlformats.org/officeDocument/2006/relationships/hyperlink" Target="https://community.secop.gov.co/Public/Tendering/ContractNoticePhases/View?PPI=CO1.PPI.37009413&amp;isFromPublicArea=True&amp;isModal=False" TargetMode="External"/><Relationship Id="rId294" Type="http://schemas.openxmlformats.org/officeDocument/2006/relationships/hyperlink" Target="https://community.secop.gov.co/Public/Tendering/ContractNoticePhases/View?PPI=CO1.PPI.38868970&amp;isFromPublicArea=True&amp;isModal=False" TargetMode="External"/><Relationship Id="rId179" Type="http://schemas.openxmlformats.org/officeDocument/2006/relationships/hyperlink" Target="https://community.secop.gov.co/Public/Tendering/ContractNoticePhases/View?PPI=CO1.PPI.37029444&amp;isFromPublicArea=True&amp;isModal=False" TargetMode="External"/><Relationship Id="rId178" Type="http://schemas.openxmlformats.org/officeDocument/2006/relationships/hyperlink" Target="https://community.secop.gov.co/Public/Tendering/ContractNoticePhases/View?PPI=CO1.PPI.37024370&amp;isFromPublicArea=True&amp;isModal=False" TargetMode="External"/><Relationship Id="rId299" Type="http://schemas.openxmlformats.org/officeDocument/2006/relationships/hyperlink" Target="https://community.secop.gov.co/Public/Tendering/ContractNoticePhases/View?PPI=CO1.PPI.38904675&amp;isFromPublicArea=True&amp;isModal=False" TargetMode="External"/><Relationship Id="rId177" Type="http://schemas.openxmlformats.org/officeDocument/2006/relationships/hyperlink" Target="https://community.secop.gov.co/Public/Tendering/ContractNoticePhases/View?PPI=CO1.PPI.37021151&amp;isFromPublicArea=True&amp;isModal=False" TargetMode="External"/><Relationship Id="rId298" Type="http://schemas.openxmlformats.org/officeDocument/2006/relationships/hyperlink" Target="https://community.secop.gov.co/Public/Tendering/ContractNoticePhases/View?PPI=CO1.PPI.38874793&amp;isFromPublicArea=True&amp;isModal=False" TargetMode="External"/><Relationship Id="rId20" Type="http://schemas.openxmlformats.org/officeDocument/2006/relationships/hyperlink" Target="https://community.secop.gov.co/Public/Tendering/ContractNoticePhases/View?PPI=CO1.PPI.36548225&amp;isFromPublicArea=True&amp;isModal=False" TargetMode="External"/><Relationship Id="rId22" Type="http://schemas.openxmlformats.org/officeDocument/2006/relationships/hyperlink" Target="https://community.secop.gov.co/Public/Tendering/ContractNoticePhases/View?PPI=CO1.PPI.36536704&amp;isFromPublicArea=True&amp;isModal=False" TargetMode="External"/><Relationship Id="rId21" Type="http://schemas.openxmlformats.org/officeDocument/2006/relationships/hyperlink" Target="https://www1.funcionpublica.gov.co/web/sigep2/hdv/-/directorio/S482451-0880-5/view" TargetMode="External"/><Relationship Id="rId24" Type="http://schemas.openxmlformats.org/officeDocument/2006/relationships/hyperlink" Target="https://community.secop.gov.co/Public/Tendering/ContractNoticePhases/View?PPI=CO1.PPI.36544865&amp;isFromPublicArea=True&amp;isModal=False" TargetMode="External"/><Relationship Id="rId23" Type="http://schemas.openxmlformats.org/officeDocument/2006/relationships/hyperlink" Target="https://www1.funcionpublica.gov.co/web/sigep2/hdv/-/directorio/S2799525-0880-5/view" TargetMode="External"/><Relationship Id="rId26" Type="http://schemas.openxmlformats.org/officeDocument/2006/relationships/hyperlink" Target="https://community.secop.gov.co/Public/Tendering/ContractNoticePhases/View?PPI=CO1.PPI.36547262&amp;isFromPublicArea=True&amp;isModal=False" TargetMode="External"/><Relationship Id="rId25" Type="http://schemas.openxmlformats.org/officeDocument/2006/relationships/hyperlink" Target="https://www1.funcionpublica.gov.co/web/sigep2/hdv/-/directorio/S2325312-0880-5/view" TargetMode="External"/><Relationship Id="rId28" Type="http://schemas.openxmlformats.org/officeDocument/2006/relationships/hyperlink" Target="https://community.secop.gov.co/Public/Tendering/ContractNoticePhases/View?PPI=CO1.PPI.36542798&amp;isFromPublicArea=True&amp;isModal=False" TargetMode="External"/><Relationship Id="rId27" Type="http://schemas.openxmlformats.org/officeDocument/2006/relationships/hyperlink" Target="https://www1.funcionpublica.gov.co/web/sigep2/hdv/-/directorio/S4865807-0880-5/view" TargetMode="External"/><Relationship Id="rId29" Type="http://schemas.openxmlformats.org/officeDocument/2006/relationships/hyperlink" Target="https://www1.funcionpublica.gov.co/web/sigep2/hdv/-/directorio/S3033787-0880-5/view" TargetMode="External"/><Relationship Id="rId11" Type="http://schemas.openxmlformats.org/officeDocument/2006/relationships/hyperlink" Target="https://www1.funcionpublica.gov.co/web/sigep2/hdv/-/directorio/S2334708-0880-5/view" TargetMode="External"/><Relationship Id="rId10" Type="http://schemas.openxmlformats.org/officeDocument/2006/relationships/hyperlink" Target="https://community.secop.gov.co/Public/Tendering/ContractNoticePhases/View?PPI=CO1.PPI.36517362&amp;isFromPublicArea=True&amp;isModal=False" TargetMode="External"/><Relationship Id="rId13" Type="http://schemas.openxmlformats.org/officeDocument/2006/relationships/hyperlink" Target="https://www1.funcionpublica.gov.co/web/sigep2/hdv/-/directorio/S2415473-0880-5/view" TargetMode="External"/><Relationship Id="rId12" Type="http://schemas.openxmlformats.org/officeDocument/2006/relationships/hyperlink" Target="https://community.secop.gov.co/Public/Tendering/ContractNoticePhases/View?PPI=CO1.PPI.36537369&amp;isFromPublicArea=True&amp;isModal=False" TargetMode="External"/><Relationship Id="rId15" Type="http://schemas.openxmlformats.org/officeDocument/2006/relationships/hyperlink" Target="https://www1.funcionpublica.gov.co/web/sigep2/hdv/-/directorio/S468056-0880-5/view" TargetMode="External"/><Relationship Id="rId198" Type="http://schemas.openxmlformats.org/officeDocument/2006/relationships/hyperlink" Target="https://community.secop.gov.co/Public/Tendering/ContractNoticePhases/View?PPI=CO1.PPI.37104129&amp;isFromPublicArea=True&amp;isModal=False" TargetMode="External"/><Relationship Id="rId14" Type="http://schemas.openxmlformats.org/officeDocument/2006/relationships/hyperlink" Target="https://community.secop.gov.co/Public/Tendering/ContractNoticePhases/View?PPI=CO1.PPI.36544538&amp;isFromPublicArea=True&amp;isModal=False" TargetMode="External"/><Relationship Id="rId197" Type="http://schemas.openxmlformats.org/officeDocument/2006/relationships/hyperlink" Target="https://community.secop.gov.co/Public/Tendering/ContractNoticePhases/View?PPI=CO1.PPI.37094639&amp;isFromPublicArea=True&amp;isModal=False" TargetMode="External"/><Relationship Id="rId17" Type="http://schemas.openxmlformats.org/officeDocument/2006/relationships/hyperlink" Target="https://www1.funcionpublica.gov.co/web/sigep2/hdv/-/directorio/S2324971-0880-5/view" TargetMode="External"/><Relationship Id="rId196" Type="http://schemas.openxmlformats.org/officeDocument/2006/relationships/hyperlink" Target="https://community.secop.gov.co/Public/Tendering/ContractNoticePhases/View?PPI=CO1.PPI.37093070&amp;isFromPublicArea=True&amp;isModal=False" TargetMode="External"/><Relationship Id="rId16" Type="http://schemas.openxmlformats.org/officeDocument/2006/relationships/hyperlink" Target="https://community.secop.gov.co/Public/Tendering/ContractNoticePhases/View?PPI=CO1.PPI.36542731&amp;isFromPublicArea=True&amp;isModal=False" TargetMode="External"/><Relationship Id="rId195" Type="http://schemas.openxmlformats.org/officeDocument/2006/relationships/hyperlink" Target="https://community.secop.gov.co/Public/Tendering/ContractNoticePhases/View?PPI=CO1.PPI.37099173&amp;isFromPublicArea=True&amp;isModal=False" TargetMode="External"/><Relationship Id="rId19" Type="http://schemas.openxmlformats.org/officeDocument/2006/relationships/hyperlink" Target="https://www1.funcionpublica.gov.co/web/sigep2/hdv/-/directorio/S3184385-0880-5/view" TargetMode="External"/><Relationship Id="rId18" Type="http://schemas.openxmlformats.org/officeDocument/2006/relationships/hyperlink" Target="https://community.secop.gov.co/Public/Tendering/ContractNoticePhases/View?PPI=CO1.PPI.36517362&amp;isFromPublicArea=True&amp;isModal=False" TargetMode="External"/><Relationship Id="rId199" Type="http://schemas.openxmlformats.org/officeDocument/2006/relationships/hyperlink" Target="https://community.secop.gov.co/Public/Tendering/ContractNoticePhases/View?PPI=CO1.PPI.37175743&amp;isFromPublicArea=True&amp;isModal=False" TargetMode="External"/><Relationship Id="rId84" Type="http://schemas.openxmlformats.org/officeDocument/2006/relationships/hyperlink" Target="https://community.secop.gov.co/Public/Tendering/ContractNoticePhases/View?PPI=CO1.PPI.36651887&amp;isFromPublicArea=True&amp;isModal=False" TargetMode="External"/><Relationship Id="rId83" Type="http://schemas.openxmlformats.org/officeDocument/2006/relationships/hyperlink" Target="https://community.secop.gov.co/Public/Tendering/ContractNoticePhases/View?PPI=CO1.PPI.36646923&amp;isFromPublicArea=True&amp;isModal=False" TargetMode="External"/><Relationship Id="rId86" Type="http://schemas.openxmlformats.org/officeDocument/2006/relationships/hyperlink" Target="https://community.secop.gov.co/Public/Tendering/ContractNoticePhases/View?PPI=CO1.PPI.36647957&amp;isFromPublicArea=True&amp;isModal=False" TargetMode="External"/><Relationship Id="rId85" Type="http://schemas.openxmlformats.org/officeDocument/2006/relationships/hyperlink" Target="https://community.secop.gov.co/Public/Tendering/ContractNoticePhases/View?PPI=CO1.PPI.36653080&amp;isFromPublicArea=True&amp;isModal=False" TargetMode="External"/><Relationship Id="rId88" Type="http://schemas.openxmlformats.org/officeDocument/2006/relationships/hyperlink" Target="https://community.secop.gov.co/Public/Tendering/ContractNoticePhases/View?PPI=CO1.PPI.36673111&amp;isFromPublicArea=True&amp;isModal=False" TargetMode="External"/><Relationship Id="rId150" Type="http://schemas.openxmlformats.org/officeDocument/2006/relationships/hyperlink" Target="https://community.secop.gov.co/Public/Tendering/ContractNoticePhases/View?PPI=CO1.PPI.36923199&amp;isFromPublicArea=True&amp;isModal=False" TargetMode="External"/><Relationship Id="rId271" Type="http://schemas.openxmlformats.org/officeDocument/2006/relationships/hyperlink" Target="https://community.secop.gov.co/Public/Tendering/ContractNoticePhases/View?PPI=CO1.PPI.38193293&amp;isFromPublicArea=True&amp;isModal=False" TargetMode="External"/><Relationship Id="rId87" Type="http://schemas.openxmlformats.org/officeDocument/2006/relationships/hyperlink" Target="https://www1.funcionpublica.gov.co/web/sigep2/hdv/-/directorio/S1536815-0880-5/view" TargetMode="External"/><Relationship Id="rId270" Type="http://schemas.openxmlformats.org/officeDocument/2006/relationships/hyperlink" Target="https://community.secop.gov.co/Public/Tendering/ContractNoticePhases/View?PPI=CO1.PPI.38413508&amp;isFromPublicArea=True&amp;isModal=False" TargetMode="External"/><Relationship Id="rId89" Type="http://schemas.openxmlformats.org/officeDocument/2006/relationships/hyperlink" Target="https://community.secop.gov.co/Public/Tendering/ContractNoticePhases/View?PPI=CO1.PPI.36673143&amp;isFromPublicArea=True&amp;isModal=False" TargetMode="External"/><Relationship Id="rId80" Type="http://schemas.openxmlformats.org/officeDocument/2006/relationships/hyperlink" Target="https://community.secop.gov.co/Public/Tendering/ContractNoticePhases/View?PPI=CO1.PPI.36645480&amp;isFromPublicArea=True&amp;isModal=False" TargetMode="External"/><Relationship Id="rId82" Type="http://schemas.openxmlformats.org/officeDocument/2006/relationships/hyperlink" Target="https://community.secop.gov.co/Public/Tendering/ContractNoticePhases/View?PPI=CO1.PPI.36645057&amp;isFromPublicArea=True&amp;isModal=False" TargetMode="External"/><Relationship Id="rId81" Type="http://schemas.openxmlformats.org/officeDocument/2006/relationships/hyperlink" Target="https://community.secop.gov.co/Public/Tendering/ContractNoticePhases/View?PPI=CO1.PPI.36646202&amp;isFromPublicArea=True&amp;isModal=False" TargetMode="External"/><Relationship Id="rId1" Type="http://schemas.openxmlformats.org/officeDocument/2006/relationships/hyperlink" Target="https://www1.funcionpublica.gov.co/web/sigep2/hdv/-/directorio/S509661-0880-5/view" TargetMode="External"/><Relationship Id="rId2" Type="http://schemas.openxmlformats.org/officeDocument/2006/relationships/hyperlink" Target="https://community.secop.gov.co/Public/Tendering/ContractNoticePhases/View?PPI=CO1.PPI.36485633&amp;isFromPublicArea=True&amp;isModal=False" TargetMode="External"/><Relationship Id="rId3" Type="http://schemas.openxmlformats.org/officeDocument/2006/relationships/hyperlink" Target="https://www1.funcionpublica.gov.co/web/sigep2/hdv/-/directorio/S882150-0880-5/view" TargetMode="External"/><Relationship Id="rId149" Type="http://schemas.openxmlformats.org/officeDocument/2006/relationships/hyperlink" Target="https://community.secop.gov.co/Public/Tendering/ContractNoticePhases/View?PPI=CO1.PPI.36905802&amp;isFromPublicArea=True&amp;isModal=False" TargetMode="External"/><Relationship Id="rId4" Type="http://schemas.openxmlformats.org/officeDocument/2006/relationships/hyperlink" Target="https://community.secop.gov.co/Public/Tendering/ContractNoticePhases/View?PPI=CO1.PPI.36517362&amp;isFromPublicArea=True&amp;isModal=False" TargetMode="External"/><Relationship Id="rId148" Type="http://schemas.openxmlformats.org/officeDocument/2006/relationships/hyperlink" Target="https://community.secop.gov.co/Public/Tendering/ContractNoticePhases/View?PPI=CO1.PPI.36896570&amp;isFromPublicArea=True&amp;isModal=False" TargetMode="External"/><Relationship Id="rId269" Type="http://schemas.openxmlformats.org/officeDocument/2006/relationships/hyperlink" Target="https://community.secop.gov.co/Public/Tendering/ContractNoticePhases/View?PPI=CO1.PPI.38356348&amp;isFromPublicArea=True&amp;isModal=False" TargetMode="External"/><Relationship Id="rId9" Type="http://schemas.openxmlformats.org/officeDocument/2006/relationships/hyperlink" Target="https://www1.funcionpublica.gov.co/web/sigep2/hdv/-/directorio/S1239786-0880-5/view" TargetMode="External"/><Relationship Id="rId143" Type="http://schemas.openxmlformats.org/officeDocument/2006/relationships/hyperlink" Target="https://community.secop.gov.co/Public/Tendering/ContractNoticePhases/View?PPI=CO1.PPI.36887595&amp;isFromPublicArea=True&amp;isModal=False" TargetMode="External"/><Relationship Id="rId264" Type="http://schemas.openxmlformats.org/officeDocument/2006/relationships/hyperlink" Target="https://community.secop.gov.co/Public/Tendering/ContractNoticePhases/View?PPI=CO1.PPI.37989823&amp;isFromPublicArea=True&amp;isModal=False" TargetMode="External"/><Relationship Id="rId142" Type="http://schemas.openxmlformats.org/officeDocument/2006/relationships/hyperlink" Target="https://community.secop.gov.co/Public/Tendering/ContractNoticePhases/View?PPI=CO1.PPI.36949628&amp;isFromPublicArea=True&amp;isModal=False" TargetMode="External"/><Relationship Id="rId263" Type="http://schemas.openxmlformats.org/officeDocument/2006/relationships/hyperlink" Target="https://community.secop.gov.co/Public/Tendering/ContractNoticePhases/View?PPI=CO1.PPI.37924980&amp;isFromPublicArea=True&amp;isModal=False" TargetMode="External"/><Relationship Id="rId141" Type="http://schemas.openxmlformats.org/officeDocument/2006/relationships/hyperlink" Target="https://community.secop.gov.co/Public/Tendering/ContractNoticePhases/View?PPI=CO1.PPI.36889681&amp;isFromPublicArea=True&amp;isModal=False" TargetMode="External"/><Relationship Id="rId262" Type="http://schemas.openxmlformats.org/officeDocument/2006/relationships/hyperlink" Target="https://community.secop.gov.co/Public/Tendering/ContractNoticePhases/View?PPI=CO1.PPI.37867854&amp;isFromPublicArea=True&amp;isModal=False" TargetMode="External"/><Relationship Id="rId140" Type="http://schemas.openxmlformats.org/officeDocument/2006/relationships/hyperlink" Target="https://community.secop.gov.co/Public/Tendering/ContractNoticePhases/View?PPI=CO1.PPI.36888880&amp;isFromPublicArea=True&amp;isModal=False" TargetMode="External"/><Relationship Id="rId261" Type="http://schemas.openxmlformats.org/officeDocument/2006/relationships/hyperlink" Target="https://community.secop.gov.co/Public/Tendering/ContractNoticePhases/View?PPI=CO1.PPI.37867854&amp;isFromPublicArea=True&amp;isModal=False" TargetMode="External"/><Relationship Id="rId5" Type="http://schemas.openxmlformats.org/officeDocument/2006/relationships/hyperlink" Target="https://www1.funcionpublica.gov.co/web/sigep2/hdv/-/directorio/S2803588-0880-5/view" TargetMode="External"/><Relationship Id="rId147" Type="http://schemas.openxmlformats.org/officeDocument/2006/relationships/hyperlink" Target="https://community.secop.gov.co/Public/Tendering/ContractNoticePhases/View?PPI=CO1.PPI.36895358&amp;isFromPublicArea=True&amp;isModal=False" TargetMode="External"/><Relationship Id="rId268" Type="http://schemas.openxmlformats.org/officeDocument/2006/relationships/hyperlink" Target="https://community.secop.gov.co/Public/Tendering/ContractNoticePhases/View?PPI=CO1.PPI.38135942&amp;isFromPublicArea=True&amp;isModal=False" TargetMode="External"/><Relationship Id="rId6" Type="http://schemas.openxmlformats.org/officeDocument/2006/relationships/hyperlink" Target="https://community.secop.gov.co/Public/Tendering/ContractNoticePhases/View?PPI=CO1.PPI.36517362&amp;isFromPublicArea=True&amp;isModal=False" TargetMode="External"/><Relationship Id="rId146" Type="http://schemas.openxmlformats.org/officeDocument/2006/relationships/hyperlink" Target="https://community.secop.gov.co/Public/Tendering/ContractNoticePhases/View?PPI=CO1.PPI.36901194&amp;isFromPublicArea=True&amp;isModal=False" TargetMode="External"/><Relationship Id="rId267" Type="http://schemas.openxmlformats.org/officeDocument/2006/relationships/hyperlink" Target="https://community.secop.gov.co/Public/Tendering/ContractNoticePhases/View?PPI=CO1.PPI.38023115&amp;isFromPublicArea=True&amp;isModal=False" TargetMode="External"/><Relationship Id="rId7" Type="http://schemas.openxmlformats.org/officeDocument/2006/relationships/hyperlink" Target="https://www1.funcionpublica.gov.co/web/sigep2/hdv/-/directorio/S1754554-0880-5/view" TargetMode="External"/><Relationship Id="rId145" Type="http://schemas.openxmlformats.org/officeDocument/2006/relationships/hyperlink" Target="https://community.secop.gov.co/Public/Tendering/ContractNoticePhases/View?PPI=CO1.PPI.36892514&amp;isFromPublicArea=True&amp;isModal=False" TargetMode="External"/><Relationship Id="rId266" Type="http://schemas.openxmlformats.org/officeDocument/2006/relationships/hyperlink" Target="https://community.secop.gov.co/Public/Tendering/ContractNoticePhases/View?PPI=CO1.PPI.38024649&amp;isFromPublicArea=True&amp;isModal=False" TargetMode="External"/><Relationship Id="rId8" Type="http://schemas.openxmlformats.org/officeDocument/2006/relationships/hyperlink" Target="https://community.secop.gov.co/Public/Tendering/ContractNoticePhases/View?PPI=CO1.PPI.36517362&amp;isFromPublicArea=True&amp;isModal=False" TargetMode="External"/><Relationship Id="rId144" Type="http://schemas.openxmlformats.org/officeDocument/2006/relationships/hyperlink" Target="https://community.secop.gov.co/Public/Tendering/ContractNoticePhases/View?PPI=CO1.PPI.36893186&amp;isFromPublicArea=True&amp;isModal=False" TargetMode="External"/><Relationship Id="rId265" Type="http://schemas.openxmlformats.org/officeDocument/2006/relationships/hyperlink" Target="https://community.secop.gov.co/Public/Tendering/ContractNoticePhases/View?PPI=CO1.PPI.38018573&amp;isFromPublicArea=True&amp;isModal=False" TargetMode="External"/><Relationship Id="rId73" Type="http://schemas.openxmlformats.org/officeDocument/2006/relationships/hyperlink" Target="https://community.secop.gov.co/Public/Tendering/ContractNoticePhases/View?PPI=CO1.PPI.36644095&amp;isFromPublicArea=True&amp;isModal=False" TargetMode="External"/><Relationship Id="rId72" Type="http://schemas.openxmlformats.org/officeDocument/2006/relationships/hyperlink" Target="https://community.secop.gov.co/Public/Tendering/ContractNoticePhases/View?PPI=CO1.PPI.36641591&amp;isFromPublicArea=True&amp;isModal=False" TargetMode="External"/><Relationship Id="rId75" Type="http://schemas.openxmlformats.org/officeDocument/2006/relationships/hyperlink" Target="https://community.secop.gov.co/Public/Tendering/ContractNoticePhases/View?PPI=CO1.PPI.36642527&amp;isFromPublicArea=True&amp;isModal=False" TargetMode="External"/><Relationship Id="rId74" Type="http://schemas.openxmlformats.org/officeDocument/2006/relationships/hyperlink" Target="https://www.secop.gov.co/CO1BusinessLine/Tendering/BuyerWorkArea/Index?docUniqueIdentifier=CO1.BDOS.7321437&amp;prevCtxUrl=https%3a%2f%2fwww.secop.gov.co%2fCO1BusinessLine%2fTendering%2fBuyerDossierWorkspace%2fIndex%3fallWords2Search%3dDIRECTA+047-2025%26createDateFrom%3d20%2f07%2f2024+19%3a05%3a43%26createDateTo%3d20%2f01%2f2025+19%3a05%3a43%26filteringState%3d0%26sortingState%3dLastModifiedDESC%26showAdvancedSearch%3dFalse%26showAdvancedSearchFields%3dFalse%26folderCode%3dALL%26selectedDossier%3dCO1.BDOS.7321437%26selectedRequest%3dCO1.REQ.7457348%26&amp;prevCtxLbl=Procesos+de+la+Entidad+Estatal" TargetMode="External"/><Relationship Id="rId77" Type="http://schemas.openxmlformats.org/officeDocument/2006/relationships/hyperlink" Target="https://community.secop.gov.co/Public/Tendering/ContractNoticePhases/View?PPI=CO1.PPI.36697591&amp;isFromPublicArea=True&amp;isModal=False" TargetMode="External"/><Relationship Id="rId260" Type="http://schemas.openxmlformats.org/officeDocument/2006/relationships/hyperlink" Target="https://community.secop.gov.co/Public/Tendering/ContractNoticePhases/View?PPI=CO1.PPI.37690963&amp;isFromPublicArea=True&amp;isModal=False" TargetMode="External"/><Relationship Id="rId76" Type="http://schemas.openxmlformats.org/officeDocument/2006/relationships/hyperlink" Target="https://community.secop.gov.co/Public/Tendering/ContractNoticePhases/View?PPI=CO1.PPI.36640314&amp;isFromPublicArea=True&amp;isModal=False" TargetMode="External"/><Relationship Id="rId79" Type="http://schemas.openxmlformats.org/officeDocument/2006/relationships/hyperlink" Target="https://community.secop.gov.co/Public/Tendering/ContractNoticePhases/View?PPI=CO1.PPI.36641485&amp;isFromPublicArea=True&amp;isModal=False" TargetMode="External"/><Relationship Id="rId78" Type="http://schemas.openxmlformats.org/officeDocument/2006/relationships/hyperlink" Target="https://community.secop.gov.co/Public/Tendering/ContractNoticePhases/View?PPI=CO1.PPI.36698510&amp;isFromPublicArea=True&amp;isModal=False" TargetMode="External"/><Relationship Id="rId71" Type="http://schemas.openxmlformats.org/officeDocument/2006/relationships/hyperlink" Target="https://community.secop.gov.co/Public/Tendering/ContractNoticePhases/View?PPI=CO1.PPI.36648518&amp;isFromPublicArea=True&amp;isModal=False" TargetMode="External"/><Relationship Id="rId70" Type="http://schemas.openxmlformats.org/officeDocument/2006/relationships/hyperlink" Target="https://community.secop.gov.co/Public/Tendering/ContractNoticePhases/View?PPI=CO1.PPI.36617891&amp;isFromPublicArea=True&amp;isModal=False" TargetMode="External"/><Relationship Id="rId139" Type="http://schemas.openxmlformats.org/officeDocument/2006/relationships/hyperlink" Target="https://community.secop.gov.co/Public/Tendering/ContractNoticePhases/View?PPI=CO1.PPI.36901137&amp;isFromPublicArea=True&amp;isModal=False" TargetMode="External"/><Relationship Id="rId138" Type="http://schemas.openxmlformats.org/officeDocument/2006/relationships/hyperlink" Target="https://community.secop.gov.co/Public/Tendering/ContractNoticePhases/View?PPI=CO1.PPI.36880263&amp;isFromPublicArea=True&amp;isModal=False" TargetMode="External"/><Relationship Id="rId259" Type="http://schemas.openxmlformats.org/officeDocument/2006/relationships/hyperlink" Target="https://community.secop.gov.co/Public/Tendering/ContractNoticePhases/View?PPI=CO1.PPI.37721560&amp;isFromPublicArea=True&amp;isModal=False" TargetMode="External"/><Relationship Id="rId137" Type="http://schemas.openxmlformats.org/officeDocument/2006/relationships/hyperlink" Target="https://community.secop.gov.co/Public/Tendering/ContractNoticePhases/View?PPI=CO1.PPI.36919613&amp;isFromPublicArea=True&amp;isModal=False" TargetMode="External"/><Relationship Id="rId258" Type="http://schemas.openxmlformats.org/officeDocument/2006/relationships/hyperlink" Target="https://community.secop.gov.co/Public/Tendering/ContractNoticePhases/View?PPI=CO1.PPI.37664330&amp;isFromPublicArea=True&amp;isModal=False" TargetMode="External"/><Relationship Id="rId132" Type="http://schemas.openxmlformats.org/officeDocument/2006/relationships/hyperlink" Target="https://community.secop.gov.co/Public/Tendering/ContractNoticePhases/View?PPI=CO1.PPI.36892021&amp;isFromPublicArea=True&amp;isModal=False" TargetMode="External"/><Relationship Id="rId253" Type="http://schemas.openxmlformats.org/officeDocument/2006/relationships/hyperlink" Target="https://community.secop.gov.co/Public/Tendering/ContractNoticePhases/View?PPI=CO1.PPI.37540804&amp;isFromPublicArea=True&amp;isModal=False" TargetMode="External"/><Relationship Id="rId131" Type="http://schemas.openxmlformats.org/officeDocument/2006/relationships/hyperlink" Target="https://community.secop.gov.co/Public/Tendering/ContractNoticePhases/View?PPI=CO1.PPI.36882184&amp;isFromPublicArea=True&amp;isModal=False" TargetMode="External"/><Relationship Id="rId252" Type="http://schemas.openxmlformats.org/officeDocument/2006/relationships/hyperlink" Target="https://community.secop.gov.co/Public/Tendering/ContractNoticePhases/View?PPI=CO1.PPI.37633581&amp;isFromPublicArea=True&amp;isModal=False" TargetMode="External"/><Relationship Id="rId130" Type="http://schemas.openxmlformats.org/officeDocument/2006/relationships/hyperlink" Target="https://community.secop.gov.co/Public/Tendering/ContractNoticePhases/View?PPI=CO1.PPI.36871427&amp;isFromPublicArea=True&amp;isModal=False" TargetMode="External"/><Relationship Id="rId251" Type="http://schemas.openxmlformats.org/officeDocument/2006/relationships/hyperlink" Target="https://community.secop.gov.co/Public/Tendering/ContractNoticePhases/View?PPI=CO1.PPI.37631840&amp;isFromPublicArea=True&amp;isModal=False" TargetMode="External"/><Relationship Id="rId250" Type="http://schemas.openxmlformats.org/officeDocument/2006/relationships/hyperlink" Target="https://community.secop.gov.co/Public/Tendering/ContractNoticePhases/View?PPI=CO1.PPI.37594704&amp;isFromPublicArea=True&amp;isModal=False" TargetMode="External"/><Relationship Id="rId136" Type="http://schemas.openxmlformats.org/officeDocument/2006/relationships/hyperlink" Target="https://community.secop.gov.co/Public/Tendering/ContractNoticePhases/View?PPI=CO1.PPI.36876046&amp;isFromPublicArea=True&amp;isModal=False" TargetMode="External"/><Relationship Id="rId257" Type="http://schemas.openxmlformats.org/officeDocument/2006/relationships/hyperlink" Target="https://community.secop.gov.co/Public/Tendering/ContractNoticePhases/View?PPI=CO1.PPI.37662700&amp;isFromPublicArea=True&amp;isModal=False" TargetMode="External"/><Relationship Id="rId135" Type="http://schemas.openxmlformats.org/officeDocument/2006/relationships/hyperlink" Target="https://community.secop.gov.co/Public/Tendering/ContractNoticePhases/View?PPI=CO1.PPI.36949652&amp;isFromPublicArea=True&amp;isModal=False" TargetMode="External"/><Relationship Id="rId256" Type="http://schemas.openxmlformats.org/officeDocument/2006/relationships/hyperlink" Target="https://community.secop.gov.co/Public/Tendering/ContractNoticePhases/View?PPI=CO1.PPI.37633378&amp;isFromPublicArea=True&amp;isModal=False" TargetMode="External"/><Relationship Id="rId134" Type="http://schemas.openxmlformats.org/officeDocument/2006/relationships/hyperlink" Target="https://community.secop.gov.co/Public/Tendering/ContractNoticePhases/View?PPI=CO1.PPI.36893320&amp;isFromPublicArea=True&amp;isModal=False" TargetMode="External"/><Relationship Id="rId255" Type="http://schemas.openxmlformats.org/officeDocument/2006/relationships/hyperlink" Target="https://community.secop.gov.co/Public/Tendering/ContractNoticePhases/View?PPI=CO1.PPI.37719637&amp;isFromPublicArea=True&amp;isModal=False" TargetMode="External"/><Relationship Id="rId133" Type="http://schemas.openxmlformats.org/officeDocument/2006/relationships/hyperlink" Target="https://community.secop.gov.co/Public/Tendering/ContractNoticePhases/View?PPI=CO1.PPI.36873069&amp;isFromPublicArea=True&amp;isModal=False" TargetMode="External"/><Relationship Id="rId254" Type="http://schemas.openxmlformats.org/officeDocument/2006/relationships/hyperlink" Target="https://community.secop.gov.co/Public/Tendering/ContractNoticePhases/View?PPI=CO1.PPI.37627847&amp;isFromPublicArea=True&amp;isModal=False" TargetMode="External"/><Relationship Id="rId62" Type="http://schemas.openxmlformats.org/officeDocument/2006/relationships/hyperlink" Target="https://community.secop.gov.co/Public/Tendering/ContractNoticePhases/View?PPI=CO1.PPI.36576295&amp;isFromPublicArea=True&amp;isModal=False" TargetMode="External"/><Relationship Id="rId61" Type="http://schemas.openxmlformats.org/officeDocument/2006/relationships/hyperlink" Target="https://community.secop.gov.co/Public/Tendering/ContractNoticePhases/View?PPI=CO1.PPI.36575876&amp;isFromPublicArea=True&amp;isModal=False" TargetMode="External"/><Relationship Id="rId64" Type="http://schemas.openxmlformats.org/officeDocument/2006/relationships/hyperlink" Target="https://community.secop.gov.co/Public/Tendering/ContractNoticePhases/View?PPI=CO1.PPI.36629279&amp;isFromPublicArea=True&amp;isModal=False" TargetMode="External"/><Relationship Id="rId63" Type="http://schemas.openxmlformats.org/officeDocument/2006/relationships/hyperlink" Target="https://community.secop.gov.co/Public/Tendering/ContractNoticePhases/View?PPI=CO1.PPI.36577218&amp;isFromPublicArea=True&amp;isModal=False" TargetMode="External"/><Relationship Id="rId66" Type="http://schemas.openxmlformats.org/officeDocument/2006/relationships/hyperlink" Target="https://community.secop.gov.co/Public/Tendering/ContractNoticePhases/View?PPI=CO1.PPI.36624402&amp;isFromPublicArea=True&amp;isModal=False" TargetMode="External"/><Relationship Id="rId172" Type="http://schemas.openxmlformats.org/officeDocument/2006/relationships/hyperlink" Target="https://community.secop.gov.co/Public/Tendering/ContractNoticePhases/View?PPI=CO1.PPI.37003911&amp;isFromPublicArea=True&amp;isModal=False" TargetMode="External"/><Relationship Id="rId293" Type="http://schemas.openxmlformats.org/officeDocument/2006/relationships/hyperlink" Target="https://community.secop.gov.co/Public/Tendering/ContractNoticePhases/View?PPI=CO1.PPI.38817509&amp;isFromPublicArea=True&amp;isModal=False" TargetMode="External"/><Relationship Id="rId65" Type="http://schemas.openxmlformats.org/officeDocument/2006/relationships/hyperlink" Target="https://community.secop.gov.co/Public/Tendering/ContractNoticePhases/View?PPI=CO1.PPI.36620409&amp;isFromPublicArea=True&amp;isModal=False" TargetMode="External"/><Relationship Id="rId171" Type="http://schemas.openxmlformats.org/officeDocument/2006/relationships/hyperlink" Target="https://community.secop.gov.co/Public/Tendering/ContractNoticePhases/View?PPI=CO1.PPI.37012489&amp;isFromPublicArea=True&amp;isModal=False" TargetMode="External"/><Relationship Id="rId292" Type="http://schemas.openxmlformats.org/officeDocument/2006/relationships/hyperlink" Target="https://community.secop.gov.co/Public/Tendering/ContractNoticePhases/View?PPI=CO1.PPI.38899987&amp;isFromPublicArea=True&amp;isModal=False" TargetMode="External"/><Relationship Id="rId68" Type="http://schemas.openxmlformats.org/officeDocument/2006/relationships/hyperlink" Target="https://community.secop.gov.co/Public/Tendering/ContractNoticePhases/View?PPI=CO1.PPI.36616079&amp;isFromPublicArea=True&amp;isModal=False" TargetMode="External"/><Relationship Id="rId170" Type="http://schemas.openxmlformats.org/officeDocument/2006/relationships/hyperlink" Target="https://community.secop.gov.co/Public/Tendering/ContractNoticePhases/View?PPI=CO1.PPI.37152234&amp;isFromPublicArea=True&amp;isModal=False" TargetMode="External"/><Relationship Id="rId291" Type="http://schemas.openxmlformats.org/officeDocument/2006/relationships/hyperlink" Target="https://community.secop.gov.co/Public/Tendering/ContractNoticePhases/View?PPI=CO1.PPI.38781706&amp;isFromPublicArea=True&amp;isModal=False" TargetMode="External"/><Relationship Id="rId67" Type="http://schemas.openxmlformats.org/officeDocument/2006/relationships/hyperlink" Target="https://community.secop.gov.co/Public/Tendering/ContractNoticePhases/View?PPI=CO1.PPI.36619072&amp;isFromPublicArea=True&amp;isModal=False" TargetMode="External"/><Relationship Id="rId290" Type="http://schemas.openxmlformats.org/officeDocument/2006/relationships/hyperlink" Target="https://community.secop.gov.co/Public/Tendering/ContractNoticePhases/View?PPI=CO1.PPI.38773084&amp;isFromPublicArea=True&amp;isModal=False" TargetMode="External"/><Relationship Id="rId60" Type="http://schemas.openxmlformats.org/officeDocument/2006/relationships/hyperlink" Target="https://community.secop.gov.co/Public/Tendering/ContractNoticePhases/View?PPI=CO1.PPI.36572977&amp;isFromPublicArea=True&amp;isModal=False" TargetMode="External"/><Relationship Id="rId165" Type="http://schemas.openxmlformats.org/officeDocument/2006/relationships/hyperlink" Target="https://community.secop.gov.co/Public/Tendering/ContractNoticePhases/View?PPI=CO1.PPI.36978703&amp;isFromPublicArea=True&amp;isModal=False" TargetMode="External"/><Relationship Id="rId286" Type="http://schemas.openxmlformats.org/officeDocument/2006/relationships/hyperlink" Target="https://community.secop.gov.co/Public/Tendering/ContractNoticePhases/View?PPI=CO1.PPI.38682775&amp;isFromPublicArea=True&amp;isModal=False" TargetMode="External"/><Relationship Id="rId69" Type="http://schemas.openxmlformats.org/officeDocument/2006/relationships/hyperlink" Target="https://community.secop.gov.co/Public/Tendering/ContractNoticePhases/View?PPI=CO1.PPI.36617805&amp;isFromPublicArea=True&amp;isModal=False" TargetMode="External"/><Relationship Id="rId164" Type="http://schemas.openxmlformats.org/officeDocument/2006/relationships/hyperlink" Target="https://community.secop.gov.co/Public/Tendering/ContractNoticePhases/View?PPI=CO1.PPI.36980958&amp;isFromPublicArea=True&amp;isModal=False" TargetMode="External"/><Relationship Id="rId285" Type="http://schemas.openxmlformats.org/officeDocument/2006/relationships/hyperlink" Target="https://community.secop.gov.co/Public/Tendering/ContractNoticePhases/View?PPI=CO1.PPI.38772002&amp;isFromPublicArea=True&amp;isModal=False" TargetMode="External"/><Relationship Id="rId163" Type="http://schemas.openxmlformats.org/officeDocument/2006/relationships/hyperlink" Target="https://community.secop.gov.co/Public/Tendering/ContractNoticePhases/View?PPI=CO1.PPI.36978793&amp;isFromPublicArea=True&amp;isModal=False" TargetMode="External"/><Relationship Id="rId284" Type="http://schemas.openxmlformats.org/officeDocument/2006/relationships/hyperlink" Target="https://community.secop.gov.co/Public/Tendering/ContractNoticePhases/View?PPI=CO1.PPI.38706989&amp;isFromPublicArea=True&amp;isModal=False" TargetMode="External"/><Relationship Id="rId162" Type="http://schemas.openxmlformats.org/officeDocument/2006/relationships/hyperlink" Target="https://community.secop.gov.co/Public/Tendering/ContractNoticePhases/View?PPI=CO1.PPI.36974404&amp;isFromPublicArea=True&amp;isModal=False" TargetMode="External"/><Relationship Id="rId283" Type="http://schemas.openxmlformats.org/officeDocument/2006/relationships/hyperlink" Target="https://community.secop.gov.co/Public/Tendering/ContractNoticePhases/View?PPI=CO1.PPI.38644041&amp;isFromPublicArea=True&amp;isModal=False" TargetMode="External"/><Relationship Id="rId169" Type="http://schemas.openxmlformats.org/officeDocument/2006/relationships/hyperlink" Target="https://community.secop.gov.co/Public/Tendering/ContractNoticePhases/View?PPI=CO1.PPI.37003445&amp;isFromPublicArea=True&amp;isModal=False" TargetMode="External"/><Relationship Id="rId168" Type="http://schemas.openxmlformats.org/officeDocument/2006/relationships/hyperlink" Target="https://community.secop.gov.co/Public/Tendering/ContractNoticePhases/View?PPI=CO1.PPI.36994968&amp;isFromPublicArea=True&amp;isModal=False" TargetMode="External"/><Relationship Id="rId289" Type="http://schemas.openxmlformats.org/officeDocument/2006/relationships/hyperlink" Target="https://community.secop.gov.co/Public/Tendering/ContractNoticePhases/View?PPI=CO1.PPI.38741665&amp;isFromPublicArea=True&amp;isModal=False" TargetMode="External"/><Relationship Id="rId167" Type="http://schemas.openxmlformats.org/officeDocument/2006/relationships/hyperlink" Target="https://community.secop.gov.co/Public/Tendering/ContractNoticePhases/View?PPI=CO1.PPI.36994101&amp;isFromPublicArea=True&amp;isModal=False" TargetMode="External"/><Relationship Id="rId288" Type="http://schemas.openxmlformats.org/officeDocument/2006/relationships/hyperlink" Target="https://community.secop.gov.co/Public/Tendering/ContractNoticePhases/View?PPI=CO1.PPI.38686264&amp;isFromPublicArea=True&amp;isModal=False" TargetMode="External"/><Relationship Id="rId166" Type="http://schemas.openxmlformats.org/officeDocument/2006/relationships/hyperlink" Target="https://community.secop.gov.co/Public/Tendering/ContractNoticePhases/View?PPI=CO1.PPI.36992853&amp;isFromPublicArea=True&amp;isModal=False" TargetMode="External"/><Relationship Id="rId287" Type="http://schemas.openxmlformats.org/officeDocument/2006/relationships/hyperlink" Target="https://community.secop.gov.co/Public/Tendering/ContractNoticePhases/View?PPI=CO1.PPI.38675548&amp;isFromPublicArea=True&amp;isModal=False" TargetMode="External"/><Relationship Id="rId51" Type="http://schemas.openxmlformats.org/officeDocument/2006/relationships/hyperlink" Target="https://www1.funcionpublica.gov.co/web/sigep2/hdv/-/directorio/S4807438-0880-5/view" TargetMode="External"/><Relationship Id="rId50" Type="http://schemas.openxmlformats.org/officeDocument/2006/relationships/hyperlink" Target="https://community.secop.gov.co/Public/Tendering/ContractNoticePhases/View?PPI=CO1.PPI.36557344&amp;isFromPublicArea=True&amp;isModal=False" TargetMode="External"/><Relationship Id="rId53" Type="http://schemas.openxmlformats.org/officeDocument/2006/relationships/hyperlink" Target="https://www1.funcionpublica.gov.co/web/sigep2/hdv/-/directorio/S1593897-0880-5/view" TargetMode="External"/><Relationship Id="rId52" Type="http://schemas.openxmlformats.org/officeDocument/2006/relationships/hyperlink" Target="https://community.secop.gov.co/Public/Tendering/ContractNoticePhases/View?PPI=CO1.PPI.36560023&amp;isFromPublicArea=True&amp;isModal=False" TargetMode="External"/><Relationship Id="rId55" Type="http://schemas.openxmlformats.org/officeDocument/2006/relationships/hyperlink" Target="https://community.secop.gov.co/Public/Tendering/ContractNoticePhases/View?PPI=CO1.PPI.36557066&amp;isFromPublicArea=True&amp;isModal=False" TargetMode="External"/><Relationship Id="rId161" Type="http://schemas.openxmlformats.org/officeDocument/2006/relationships/hyperlink" Target="https://community.secop.gov.co/Public/Tendering/ContractNoticePhases/View?PPI=CO1.PPI.36978348&amp;isFromPublicArea=True&amp;isModal=False" TargetMode="External"/><Relationship Id="rId282" Type="http://schemas.openxmlformats.org/officeDocument/2006/relationships/hyperlink" Target="https://community.secop.gov.co/Public/Tendering/ContractNoticePhases/View?PPI=CO1.PPI.38709901&amp;isFromPublicArea=True&amp;isModal=False" TargetMode="External"/><Relationship Id="rId54" Type="http://schemas.openxmlformats.org/officeDocument/2006/relationships/hyperlink" Target="https://community.secop.gov.co/Public/Tendering/ContractNoticePhases/View?PPI=CO1.PPI.36563149&amp;isFromPublicArea=True&amp;isModal=False" TargetMode="External"/><Relationship Id="rId160" Type="http://schemas.openxmlformats.org/officeDocument/2006/relationships/hyperlink" Target="https://community.secop.gov.co/Public/Tendering/ContractNoticePhases/View?PPI=CO1.PPI.36960991&amp;isFromPublicArea=True&amp;isModal=False" TargetMode="External"/><Relationship Id="rId281" Type="http://schemas.openxmlformats.org/officeDocument/2006/relationships/hyperlink" Target="https://community.secop.gov.co/Public/Tendering/ContractNoticePhases/View?PPI=CO1.PPI.38548356&amp;isFromPublicArea=True&amp;isModal=False" TargetMode="External"/><Relationship Id="rId57" Type="http://schemas.openxmlformats.org/officeDocument/2006/relationships/hyperlink" Target="https://community.secop.gov.co/Public/Tendering/ContractNoticePhases/View?PPI=CO1.PPI.36565227&amp;isFromPublicArea=True&amp;isModal=False" TargetMode="External"/><Relationship Id="rId280" Type="http://schemas.openxmlformats.org/officeDocument/2006/relationships/hyperlink" Target="https://community.secop.gov.co/Public/Tendering/ContractNoticePhases/View?PPI=CO1.PPI.38548533&amp;isFromPublicArea=True&amp;isModal=False" TargetMode="External"/><Relationship Id="rId56" Type="http://schemas.openxmlformats.org/officeDocument/2006/relationships/hyperlink" Target="https://community.secop.gov.co/Public/Tendering/ContractNoticePhases/View?PPI=CO1.PPI.36561679&amp;isFromPublicArea=True&amp;isModal=False" TargetMode="External"/><Relationship Id="rId159" Type="http://schemas.openxmlformats.org/officeDocument/2006/relationships/hyperlink" Target="https://community.secop.gov.co/Public/Tendering/ContractNoticePhases/View?PPI=CO1.PPI.37164097&amp;isFromPublicArea=True&amp;isModal=False" TargetMode="External"/><Relationship Id="rId59" Type="http://schemas.openxmlformats.org/officeDocument/2006/relationships/hyperlink" Target="https://community.secop.gov.co/Public/Tendering/ContractNoticePhases/View?PPI=CO1.PPI.36563994&amp;isFromPublicArea=True&amp;isModal=False" TargetMode="External"/><Relationship Id="rId154" Type="http://schemas.openxmlformats.org/officeDocument/2006/relationships/hyperlink" Target="https://community.secop.gov.co/Public/Tendering/ContractNoticePhases/View?PPI=CO1.PPI.38368831&amp;isFromPublicArea=True&amp;isModal=False" TargetMode="External"/><Relationship Id="rId275" Type="http://schemas.openxmlformats.org/officeDocument/2006/relationships/hyperlink" Target="https://community.secop.gov.co/Public/Tendering/ContractNoticePhases/View?PPI=CO1.PPI.38456267&amp;isFromPublicArea=True&amp;isModal=False" TargetMode="External"/><Relationship Id="rId58" Type="http://schemas.openxmlformats.org/officeDocument/2006/relationships/hyperlink" Target="https://community.secop.gov.co/Public/Tendering/ContractNoticePhases/View?PPI=CO1.PPI.36561985&amp;isFromPublicArea=True&amp;isModal=False" TargetMode="External"/><Relationship Id="rId153" Type="http://schemas.openxmlformats.org/officeDocument/2006/relationships/hyperlink" Target="https://community.secop.gov.co/Public/Tendering/ContractNoticePhases/View?PPI=CO1.PPI.37069014&amp;isFromPublicArea=True&amp;isModal=False" TargetMode="External"/><Relationship Id="rId274" Type="http://schemas.openxmlformats.org/officeDocument/2006/relationships/hyperlink" Target="https://community.secop.gov.co/Public/Tendering/ContractNoticePhases/View?PPI=CO1.PPI.38368831&amp;isFromPublicArea=True&amp;isModal=False" TargetMode="External"/><Relationship Id="rId152" Type="http://schemas.openxmlformats.org/officeDocument/2006/relationships/hyperlink" Target="https://community.secop.gov.co/Public/Tendering/ContractNoticePhases/View?PPI=CO1.PPI.36937777&amp;isFromPublicArea=True&amp;isModal=False" TargetMode="External"/><Relationship Id="rId273" Type="http://schemas.openxmlformats.org/officeDocument/2006/relationships/hyperlink" Target="https://community.secop.gov.co/Public/Tendering/ContractNoticePhases/View?PPI=CO1.PPI.38228222&amp;isFromPublicArea=True&amp;isModal=False" TargetMode="External"/><Relationship Id="rId151" Type="http://schemas.openxmlformats.org/officeDocument/2006/relationships/hyperlink" Target="https://community.secop.gov.co/Public/Tendering/ContractNoticePhases/View?PPI=CO1.PPI.36925264&amp;isFromPublicArea=True&amp;isModal=False" TargetMode="External"/><Relationship Id="rId272" Type="http://schemas.openxmlformats.org/officeDocument/2006/relationships/hyperlink" Target="https://community.secop.gov.co/Public/Tendering/ContractNoticePhases/View?PPI=CO1.PPI.38228222&amp;isFromPublicArea=True&amp;isModal=False" TargetMode="External"/><Relationship Id="rId158" Type="http://schemas.openxmlformats.org/officeDocument/2006/relationships/hyperlink" Target="https://community.secop.gov.co/Public/Tendering/ContractNoticePhases/View?PPI=CO1.PPI.36987753&amp;isFromPublicArea=True&amp;isModal=False" TargetMode="External"/><Relationship Id="rId279" Type="http://schemas.openxmlformats.org/officeDocument/2006/relationships/hyperlink" Target="https://community.secop.gov.co/Public/Tendering/ContractNoticePhases/View?PPI=CO1.PPI.38918719&amp;isFromPublicArea=True&amp;isModal=False" TargetMode="External"/><Relationship Id="rId157" Type="http://schemas.openxmlformats.org/officeDocument/2006/relationships/hyperlink" Target="https://community.secop.gov.co/Public/Tendering/ContractNoticePhases/View?PPI=CO1.PPI.36990493&amp;isFromPublicArea=True&amp;isModal=False" TargetMode="External"/><Relationship Id="rId278" Type="http://schemas.openxmlformats.org/officeDocument/2006/relationships/hyperlink" Target="https://www.secop.gov.co/CO1ContractsManagement/Tendering/SalesContractEdit/View?docUniqueIdentifier=CO1.SLCNTR.14564173" TargetMode="External"/><Relationship Id="rId156" Type="http://schemas.openxmlformats.org/officeDocument/2006/relationships/hyperlink" Target="https://community.secop.gov.co/Public/Tendering/ContractNoticePhases/View?PPI=CO1.PPI.36989358&amp;isFromPublicArea=True&amp;isModal=False" TargetMode="External"/><Relationship Id="rId277" Type="http://schemas.openxmlformats.org/officeDocument/2006/relationships/hyperlink" Target="https://community.secop.gov.co/Public/Tendering/ContractNoticePhases/View?PPI=CO1.PPI.38425876&amp;isFromPublicArea=True&amp;isModal=False" TargetMode="External"/><Relationship Id="rId155" Type="http://schemas.openxmlformats.org/officeDocument/2006/relationships/hyperlink" Target="https://community.secop.gov.co/Public/Tendering/ContractNoticePhases/View?PPI=CO1.PPI.36985677&amp;isFromPublicArea=True&amp;isModal=False" TargetMode="External"/><Relationship Id="rId276" Type="http://schemas.openxmlformats.org/officeDocument/2006/relationships/hyperlink" Target="https://community.secop.gov.co/Public/Tendering/ContractNoticePhases/View?PPI=CO1.PPI.38368724&amp;isFromPublicArea=True&amp;isModal=False" TargetMode="External"/><Relationship Id="rId107" Type="http://schemas.openxmlformats.org/officeDocument/2006/relationships/hyperlink" Target="https://community.secop.gov.co/Public/Tendering/ContractNoticePhases/View?PPI=CO1.PPI.36719708&amp;isFromPublicArea=True&amp;isModal=False" TargetMode="External"/><Relationship Id="rId228" Type="http://schemas.openxmlformats.org/officeDocument/2006/relationships/hyperlink" Target="https://community.secop.gov.co/Public/Tendering/ContractNoticePhases/View?PPI=CO1.PPI.37270282&amp;isFromPublicArea=True&amp;isModal=False" TargetMode="External"/><Relationship Id="rId106" Type="http://schemas.openxmlformats.org/officeDocument/2006/relationships/hyperlink" Target="https://community.secop.gov.co/Public/Tendering/ContractNoticePhases/View?PPI=CO1.PPI.36724322&amp;isFromPublicArea=True&amp;isModal=False" TargetMode="External"/><Relationship Id="rId227" Type="http://schemas.openxmlformats.org/officeDocument/2006/relationships/hyperlink" Target="https://community.secop.gov.co/Public/Tendering/ContractNoticePhases/View?PPI=CO1.PPI.37260696&amp;isFromPublicArea=True&amp;isModal=False" TargetMode="External"/><Relationship Id="rId105" Type="http://schemas.openxmlformats.org/officeDocument/2006/relationships/hyperlink" Target="https://community.secop.gov.co/Public/Tendering/ContractNoticePhases/View?PPI=CO1.PPI.36718444&amp;isFromPublicArea=True&amp;isModal=False" TargetMode="External"/><Relationship Id="rId226" Type="http://schemas.openxmlformats.org/officeDocument/2006/relationships/hyperlink" Target="https://community.secop.gov.co/Public/Tendering/ContractNoticePhases/View?PPI=CO1.PPI.37276170&amp;isFromPublicArea=True&amp;isModal=False" TargetMode="External"/><Relationship Id="rId104" Type="http://schemas.openxmlformats.org/officeDocument/2006/relationships/hyperlink" Target="https://community.secop.gov.co/Public/Tendering/ContractNoticePhases/View?PPI=CO1.PPI.36726716&amp;isFromPublicArea=True&amp;isModal=False" TargetMode="External"/><Relationship Id="rId225" Type="http://schemas.openxmlformats.org/officeDocument/2006/relationships/hyperlink" Target="https://community.secop.gov.co/Public/Tendering/ContractNoticePhases/View?PPI=CO1.PPI.37234167&amp;isFromPublicArea=True&amp;isModal=False" TargetMode="External"/><Relationship Id="rId109" Type="http://schemas.openxmlformats.org/officeDocument/2006/relationships/hyperlink" Target="https://community.secop.gov.co/Public/Tendering/ContractNoticePhases/View?PPI=CO1.PPI.36725596&amp;isFromPublicArea=True&amp;isModal=False" TargetMode="External"/><Relationship Id="rId108" Type="http://schemas.openxmlformats.org/officeDocument/2006/relationships/hyperlink" Target="https://community.secop.gov.co/Public/Tendering/ContractNoticePhases/View?PPI=CO1.PPI.36832607&amp;isFromPublicArea=True&amp;isModal=False" TargetMode="External"/><Relationship Id="rId229" Type="http://schemas.openxmlformats.org/officeDocument/2006/relationships/hyperlink" Target="https://community.secop.gov.co/Public/Tendering/ContractNoticePhases/View?PPI=CO1.PPI.37349894&amp;isFromPublicArea=True&amp;isModal=False" TargetMode="External"/><Relationship Id="rId220" Type="http://schemas.openxmlformats.org/officeDocument/2006/relationships/hyperlink" Target="https://community.secop.gov.co/Public/Tendering/ContractNoticePhases/View?PPI=CO1.PPI.37218428&amp;isFromPublicArea=True&amp;isModal=False" TargetMode="External"/><Relationship Id="rId103" Type="http://schemas.openxmlformats.org/officeDocument/2006/relationships/hyperlink" Target="https://community.secop.gov.co/Public/Tendering/ContractNoticePhases/View?PPI=CO1.PPI.36735418&amp;isFromPublicArea=True&amp;isModal=False" TargetMode="External"/><Relationship Id="rId224" Type="http://schemas.openxmlformats.org/officeDocument/2006/relationships/hyperlink" Target="https://community.secop.gov.co/Public/Tendering/ContractNoticePhases/View?PPI=CO1.PPI.37234898&amp;isFromPublicArea=True&amp;isModal=False" TargetMode="External"/><Relationship Id="rId102" Type="http://schemas.openxmlformats.org/officeDocument/2006/relationships/hyperlink" Target="https://community.secop.gov.co/Public/Tendering/ContractNoticePhases/View?PPI=CO1.PPI.37924980&amp;isFromPublicArea=True&amp;isModal=False" TargetMode="External"/><Relationship Id="rId223" Type="http://schemas.openxmlformats.org/officeDocument/2006/relationships/hyperlink" Target="https://community.secop.gov.co/Public/Tendering/ContractNoticePhases/View?PPI=CO1.PPI.37251130&amp;isFromPublicArea=True&amp;isModal=False" TargetMode="External"/><Relationship Id="rId101" Type="http://schemas.openxmlformats.org/officeDocument/2006/relationships/hyperlink" Target="https://community.secop.gov.co/Public/Tendering/ContractNoticePhases/View?PPI=CO1.PPI.36706918&amp;isFromPublicArea=True&amp;isModal=False" TargetMode="External"/><Relationship Id="rId222" Type="http://schemas.openxmlformats.org/officeDocument/2006/relationships/hyperlink" Target="https://community.secop.gov.co/Public/Tendering/ContractNoticePhases/View?PPI=CO1.PPI.37212736&amp;isFromPublicArea=True&amp;isModal=False" TargetMode="External"/><Relationship Id="rId100" Type="http://schemas.openxmlformats.org/officeDocument/2006/relationships/hyperlink" Target="https://community.secop.gov.co/Public/Tendering/ContractNoticePhases/View?PPI=CO1.PPI.36702995&amp;isFromPublicArea=True&amp;isModal=False" TargetMode="External"/><Relationship Id="rId221" Type="http://schemas.openxmlformats.org/officeDocument/2006/relationships/hyperlink" Target="https://community.secop.gov.co/Public/Tendering/ContractNoticePhases/View?PPI=CO1.PPI.37208045&amp;isFromPublicArea=True&amp;isModal=False" TargetMode="External"/><Relationship Id="rId217" Type="http://schemas.openxmlformats.org/officeDocument/2006/relationships/hyperlink" Target="https://community.secop.gov.co/Public/Tendering/ContractNoticePhases/View?PPI=CO1.PPI.37248299&amp;isFromPublicArea=True&amp;isModal=False" TargetMode="External"/><Relationship Id="rId216" Type="http://schemas.openxmlformats.org/officeDocument/2006/relationships/hyperlink" Target="https://community.secop.gov.co/Public/Tendering/ContractNoticePhases/View?PPI=CO1.PPI.37249724&amp;isFromPublicArea=True&amp;isModal=False" TargetMode="External"/><Relationship Id="rId215" Type="http://schemas.openxmlformats.org/officeDocument/2006/relationships/hyperlink" Target="https://community.secop.gov.co/Public/Tendering/ContractNoticePhases/View?PPI=CO1.PPI.37248222&amp;isFromPublicArea=True&amp;isModal=False" TargetMode="External"/><Relationship Id="rId214" Type="http://schemas.openxmlformats.org/officeDocument/2006/relationships/hyperlink" Target="https://community.secop.gov.co/Public/Tendering/ContractNoticePhases/View?PPI=CO1.PPI.37205555&amp;isFromPublicArea=True&amp;isModal=False" TargetMode="External"/><Relationship Id="rId219" Type="http://schemas.openxmlformats.org/officeDocument/2006/relationships/hyperlink" Target="https://community.secop.gov.co/Public/Tendering/ContractNoticePhases/View?PPI=CO1.PPI.37214534&amp;isFromPublicArea=True&amp;isModal=False" TargetMode="External"/><Relationship Id="rId218" Type="http://schemas.openxmlformats.org/officeDocument/2006/relationships/hyperlink" Target="https://community.secop.gov.co/Public/Tendering/ContractNoticePhases/View?PPI=CO1.PPI.37250020&amp;isFromPublicArea=True&amp;isModal=False" TargetMode="External"/><Relationship Id="rId213" Type="http://schemas.openxmlformats.org/officeDocument/2006/relationships/hyperlink" Target="https://community.secop.gov.co/Public/Tendering/ContractNoticePhases/View?PPI=CO1.PPI.36901194&amp;isFromPublicArea=True&amp;isModal=False" TargetMode="External"/><Relationship Id="rId212" Type="http://schemas.openxmlformats.org/officeDocument/2006/relationships/hyperlink" Target="https://community.secop.gov.co/Public/Tendering/ContractNoticePhases/View?PPI=CO1.PPI.37192016&amp;isFromPublicArea=True&amp;isModal=False" TargetMode="External"/><Relationship Id="rId211" Type="http://schemas.openxmlformats.org/officeDocument/2006/relationships/hyperlink" Target="https://community.secop.gov.co/Public/Tendering/ContractNoticePhases/View?PPI=CO1.PPI.37218647&amp;isFromPublicArea=True&amp;isModal=False" TargetMode="External"/><Relationship Id="rId210" Type="http://schemas.openxmlformats.org/officeDocument/2006/relationships/hyperlink" Target="https://community.secop.gov.co/Public/Tendering/ContractNoticePhases/View?PPI=CO1.PPI.37196655&amp;isFromPublicArea=True&amp;isModal=False" TargetMode="External"/><Relationship Id="rId129" Type="http://schemas.openxmlformats.org/officeDocument/2006/relationships/hyperlink" Target="https://community.secop.gov.co/Public/Tendering/ContractNoticePhases/View?PPI=CO1.PPI.36855121&amp;isFromPublicArea=True&amp;isModal=False" TargetMode="External"/><Relationship Id="rId128" Type="http://schemas.openxmlformats.org/officeDocument/2006/relationships/hyperlink" Target="https://community.secop.gov.co/Public/Tendering/ContractNoticePhases/View?PPI=CO1.PPI.36880149&amp;isFromPublicArea=True&amp;isModal=False" TargetMode="External"/><Relationship Id="rId249" Type="http://schemas.openxmlformats.org/officeDocument/2006/relationships/hyperlink" Target="https://community.secop.gov.co/Public/Tendering/ContractNoticePhases/View?PPI=CO1.PPI.37459827&amp;isFromPublicArea=True&amp;isModal=False" TargetMode="External"/><Relationship Id="rId127" Type="http://schemas.openxmlformats.org/officeDocument/2006/relationships/hyperlink" Target="https://community.secop.gov.co/Public/Tendering/ContractNoticePhases/View?PPI=CO1.PPI.36862167&amp;isFromPublicArea=True&amp;isModal=False" TargetMode="External"/><Relationship Id="rId248" Type="http://schemas.openxmlformats.org/officeDocument/2006/relationships/hyperlink" Target="https://community.secop.gov.co/Public/Tendering/ContractNoticePhases/View?PPI=CO1.PPI.37463936&amp;isFromPublicArea=True&amp;isModal=False" TargetMode="External"/><Relationship Id="rId126" Type="http://schemas.openxmlformats.org/officeDocument/2006/relationships/hyperlink" Target="https://community.secop.gov.co/Public/Tendering/ContractNoticePhases/View?PPI=CO1.PPI.36840747&amp;isFromPublicArea=True&amp;isModal=False" TargetMode="External"/><Relationship Id="rId247" Type="http://schemas.openxmlformats.org/officeDocument/2006/relationships/hyperlink" Target="https://community.secop.gov.co/Public/Tendering/ContractNoticePhases/View?PPI=CO1.PPI.37469756&amp;isFromPublicArea=True&amp;isModal=False" TargetMode="External"/><Relationship Id="rId121" Type="http://schemas.openxmlformats.org/officeDocument/2006/relationships/hyperlink" Target="https://community.secop.gov.co/Public/Tendering/ContractNoticePhases/View?PPI=CO1.PPI.36821939&amp;isFromPublicArea=True&amp;isModal=False" TargetMode="External"/><Relationship Id="rId242" Type="http://schemas.openxmlformats.org/officeDocument/2006/relationships/hyperlink" Target="https://community.secop.gov.co/Public/Tendering/ContractNoticePhases/View?PPI=CO1.PPI.37440940&amp;isFromPublicArea=True&amp;isModal=False" TargetMode="External"/><Relationship Id="rId120" Type="http://schemas.openxmlformats.org/officeDocument/2006/relationships/hyperlink" Target="https://community.secop.gov.co/Public/Tendering/ContractNoticePhases/View?PPI=CO1.PPI.36817619&amp;isFromPublicArea=True&amp;isModal=False" TargetMode="External"/><Relationship Id="rId241" Type="http://schemas.openxmlformats.org/officeDocument/2006/relationships/hyperlink" Target="https://community.secop.gov.co/Public/Tendering/ContractNoticePhases/View?PPI=CO1.PPI.37388466&amp;isFromPublicArea=True&amp;isModal=False" TargetMode="External"/><Relationship Id="rId240" Type="http://schemas.openxmlformats.org/officeDocument/2006/relationships/hyperlink" Target="https://community.secop.gov.co/Public/Tendering/ContractNoticePhases/View?PPI=CO1.PPI.37336652&amp;isFromPublicArea=True&amp;isModal=False" TargetMode="External"/><Relationship Id="rId125" Type="http://schemas.openxmlformats.org/officeDocument/2006/relationships/hyperlink" Target="https://community.secop.gov.co/Public/Tendering/ContractNoticePhases/View?PPI=CO1.PPI.36837616&amp;isFromPublicArea=True&amp;isModal=False" TargetMode="External"/><Relationship Id="rId246" Type="http://schemas.openxmlformats.org/officeDocument/2006/relationships/hyperlink" Target="https://community.secop.gov.co/Public/Tendering/ContractNoticePhases/View?PPI=CO1.PPI.37442101&amp;isFromPublicArea=True&amp;isModal=False" TargetMode="External"/><Relationship Id="rId124" Type="http://schemas.openxmlformats.org/officeDocument/2006/relationships/hyperlink" Target="https://community.secop.gov.co/Public/Tendering/ContractNoticePhases/View?PPI=CO1.PPI.36838333&amp;isFromPublicArea=True&amp;isModal=False" TargetMode="External"/><Relationship Id="rId245" Type="http://schemas.openxmlformats.org/officeDocument/2006/relationships/hyperlink" Target="https://community.secop.gov.co/Public/Tendering/ContractNoticePhases/View?PPI=CO1.PPI.37447302&amp;isFromPublicArea=True&amp;isModal=False" TargetMode="External"/><Relationship Id="rId123" Type="http://schemas.openxmlformats.org/officeDocument/2006/relationships/hyperlink" Target="https://community.secop.gov.co/Public/Tendering/ContractNoticePhases/View?PPI=CO1.PPI.36837164&amp;isFromPublicArea=True&amp;isModal=False" TargetMode="External"/><Relationship Id="rId244" Type="http://schemas.openxmlformats.org/officeDocument/2006/relationships/hyperlink" Target="https://community.secop.gov.co/Public/Tendering/ContractNoticePhases/View?PPI=CO1.PPI.37444790&amp;isFromPublicArea=True&amp;isModal=False" TargetMode="External"/><Relationship Id="rId122" Type="http://schemas.openxmlformats.org/officeDocument/2006/relationships/hyperlink" Target="https://community.secop.gov.co/Public/Tendering/ContractNoticePhases/View?PPI=CO1.PPI.36834670&amp;isFromPublicArea=True&amp;isModal=False" TargetMode="External"/><Relationship Id="rId243" Type="http://schemas.openxmlformats.org/officeDocument/2006/relationships/hyperlink" Target="https://community.secop.gov.co/Public/Tendering/ContractNoticePhases/View?PPI=CO1.PPI.37427844&amp;isFromPublicArea=True&amp;isModal=False" TargetMode="External"/><Relationship Id="rId95" Type="http://schemas.openxmlformats.org/officeDocument/2006/relationships/hyperlink" Target="https://community.secop.gov.co/Public/Tendering/ContractNoticePhases/View?PPI=CO1.PPI.36703568&amp;isFromPublicArea=True&amp;isModal=False" TargetMode="External"/><Relationship Id="rId94" Type="http://schemas.openxmlformats.org/officeDocument/2006/relationships/hyperlink" Target="https://community.secop.gov.co/Public/Tendering/ContractNoticePhases/View?PPI=CO1.PPI.36672592&amp;isFromPublicArea=True&amp;isModal=False" TargetMode="External"/><Relationship Id="rId97" Type="http://schemas.openxmlformats.org/officeDocument/2006/relationships/hyperlink" Target="https://community.secop.gov.co/Public/Tendering/ContractNoticePhases/View?PPI=CO1.PPI.36695169&amp;isFromPublicArea=True&amp;isModal=False" TargetMode="External"/><Relationship Id="rId96" Type="http://schemas.openxmlformats.org/officeDocument/2006/relationships/hyperlink" Target="https://community.secop.gov.co/Public/Tendering/ContractNoticePhases/View?PPI=CO1.PPI.36702310&amp;isFromPublicArea=True&amp;isModal=False" TargetMode="External"/><Relationship Id="rId99" Type="http://schemas.openxmlformats.org/officeDocument/2006/relationships/hyperlink" Target="https://community.secop.gov.co/Public/Tendering/ContractNoticePhases/View?PPI=CO1.PPI.36732700&amp;isFromPublicArea=True&amp;isModal=False" TargetMode="External"/><Relationship Id="rId98" Type="http://schemas.openxmlformats.org/officeDocument/2006/relationships/hyperlink" Target="https://community.secop.gov.co/Public/Tendering/ContractNoticePhases/View?PPI=CO1.PPI.36698078&amp;isFromPublicArea=True&amp;isModal=False" TargetMode="External"/><Relationship Id="rId91" Type="http://schemas.openxmlformats.org/officeDocument/2006/relationships/hyperlink" Target="https://community.secop.gov.co/Public/Tendering/ContractNoticePhases/View?PPI=CO1.PPI.36666936&amp;isFromPublicArea=True&amp;isModal=False" TargetMode="External"/><Relationship Id="rId90" Type="http://schemas.openxmlformats.org/officeDocument/2006/relationships/hyperlink" Target="https://community.secop.gov.co/Public/Tendering/ContractNoticePhases/View?PPI=CO1.PPI.36665416&amp;isFromPublicArea=True&amp;isModal=False" TargetMode="External"/><Relationship Id="rId93" Type="http://schemas.openxmlformats.org/officeDocument/2006/relationships/hyperlink" Target="https://community.secop.gov.co/Public/Tendering/ContractNoticePhases/View?PPI=CO1.PPI.36672669&amp;isFromPublicArea=True&amp;isModal=False" TargetMode="External"/><Relationship Id="rId92" Type="http://schemas.openxmlformats.org/officeDocument/2006/relationships/hyperlink" Target="https://community.secop.gov.co/Public/Tendering/ContractNoticePhases/View?PPI=CO1.PPI.36673040&amp;isFromPublicArea=True&amp;isModal=False" TargetMode="External"/><Relationship Id="rId118" Type="http://schemas.openxmlformats.org/officeDocument/2006/relationships/hyperlink" Target="https://community.secop.gov.co/Public/Tendering/ContractNoticePhases/View?PPI=CO1.PPI.36836776&amp;isFromPublicArea=True&amp;isModal=False" TargetMode="External"/><Relationship Id="rId239" Type="http://schemas.openxmlformats.org/officeDocument/2006/relationships/hyperlink" Target="https://community.secop.gov.co/Public/Tendering/ContractNoticePhases/View?PPI=CO1.PPI.37367946&amp;isFromPublicArea=True&amp;isModal=False" TargetMode="External"/><Relationship Id="rId117" Type="http://schemas.openxmlformats.org/officeDocument/2006/relationships/hyperlink" Target="https://community.secop.gov.co/Public/Tendering/ContractNoticePhases/View?PPI=CO1.PPI.36819676&amp;isFromPublicArea=True&amp;isModal=False" TargetMode="External"/><Relationship Id="rId238" Type="http://schemas.openxmlformats.org/officeDocument/2006/relationships/hyperlink" Target="https://community.secop.gov.co/Public/Tendering/ContractNoticePhases/View?PPI=CO1.PPI.37336098&amp;isFromPublicArea=True&amp;isModal=False" TargetMode="External"/><Relationship Id="rId116" Type="http://schemas.openxmlformats.org/officeDocument/2006/relationships/hyperlink" Target="https://community.secop.gov.co/Public/Tendering/ContractNoticePhases/View?PPI=CO1.PPI.36820705&amp;isFromPublicArea=True&amp;isModal=False" TargetMode="External"/><Relationship Id="rId237" Type="http://schemas.openxmlformats.org/officeDocument/2006/relationships/hyperlink" Target="https://community.secop.gov.co/Public/Tendering/ContractNoticePhases/View?PPI=CO1.PPI.37303696&amp;isFromPublicArea=True&amp;isModal=False" TargetMode="External"/><Relationship Id="rId115" Type="http://schemas.openxmlformats.org/officeDocument/2006/relationships/hyperlink" Target="https://community.secop.gov.co/Public/Tendering/ContractNoticePhases/View?PPI=CO1.PPI.36813764&amp;isFromPublicArea=True&amp;isModal=False" TargetMode="External"/><Relationship Id="rId236" Type="http://schemas.openxmlformats.org/officeDocument/2006/relationships/hyperlink" Target="https://community.secop.gov.co/Public/Tendering/ContractNoticePhases/View?PPI=CO1.PPI.37366242&amp;isFromPublicArea=True&amp;isModal=False" TargetMode="External"/><Relationship Id="rId119" Type="http://schemas.openxmlformats.org/officeDocument/2006/relationships/hyperlink" Target="https://community.secop.gov.co/Public/Tendering/ContractNoticePhases/View?PPI=CO1.PPI.36865779&amp;isFromPublicArea=True&amp;isModal=False" TargetMode="External"/><Relationship Id="rId110" Type="http://schemas.openxmlformats.org/officeDocument/2006/relationships/hyperlink" Target="https://community.secop.gov.co/Public/Tendering/ContractNoticePhases/View?PPI=CO1.PPI.36743234&amp;isFromPublicArea=True&amp;isModal=False" TargetMode="External"/><Relationship Id="rId231" Type="http://schemas.openxmlformats.org/officeDocument/2006/relationships/hyperlink" Target="https://community.secop.gov.co/Public/Tendering/ContractNoticePhases/View?PPI=CO1.PPI.37257346&amp;isFromPublicArea=True&amp;isModal=False" TargetMode="External"/><Relationship Id="rId230" Type="http://schemas.openxmlformats.org/officeDocument/2006/relationships/hyperlink" Target="https://community.secop.gov.co/Public/Tendering/ContractNoticePhases/View?PPI=CO1.PPI.37259166&amp;isFromPublicArea=True&amp;isModal=False" TargetMode="External"/><Relationship Id="rId114" Type="http://schemas.openxmlformats.org/officeDocument/2006/relationships/hyperlink" Target="https://community.secop.gov.co/Public/Tendering/ContractNoticePhases/View?PPI=CO1.PPI.36745328&amp;isFromPublicArea=True&amp;isModal=False" TargetMode="External"/><Relationship Id="rId235" Type="http://schemas.openxmlformats.org/officeDocument/2006/relationships/hyperlink" Target="https://community.secop.gov.co/Public/Tendering/ContractNoticePhases/View?PPI=CO1.PPI.37266569&amp;isFromPublicArea=True&amp;isModal=False" TargetMode="External"/><Relationship Id="rId113" Type="http://schemas.openxmlformats.org/officeDocument/2006/relationships/hyperlink" Target="https://community.secop.gov.co/Public/Tendering/ContractNoticePhases/View?PPI=CO1.PPI.36747085&amp;isFromPublicArea=True&amp;isModal=False" TargetMode="External"/><Relationship Id="rId234" Type="http://schemas.openxmlformats.org/officeDocument/2006/relationships/hyperlink" Target="https://community.secop.gov.co/Public/Tendering/ContractNoticePhases/View?PPI=CO1.PPI.37336033&amp;isFromPublicArea=True&amp;isModal=False" TargetMode="External"/><Relationship Id="rId112" Type="http://schemas.openxmlformats.org/officeDocument/2006/relationships/hyperlink" Target="https://community.secop.gov.co/Public/Tendering/ContractNoticePhases/View?PPI=CO1.PPI.36744039&amp;isFromPublicArea=True&amp;isModal=False" TargetMode="External"/><Relationship Id="rId233" Type="http://schemas.openxmlformats.org/officeDocument/2006/relationships/hyperlink" Target="https://community.secop.gov.co/Public/Tendering/ContractNoticePhases/View?PPI=CO1.PPI.37334788&amp;isFromPublicArea=True&amp;isModal=False" TargetMode="External"/><Relationship Id="rId111" Type="http://schemas.openxmlformats.org/officeDocument/2006/relationships/hyperlink" Target="https://community.secop.gov.co/Public/Tendering/ContractNoticePhases/View?PPI=CO1.PPI.36741932&amp;isFromPublicArea=True&amp;isModal=False" TargetMode="External"/><Relationship Id="rId232" Type="http://schemas.openxmlformats.org/officeDocument/2006/relationships/hyperlink" Target="https://community.secop.gov.co/Public/Tendering/ContractNoticePhases/View?PPI=CO1.PPI.37280603&amp;isFromPublicArea=True&amp;isModal=False" TargetMode="External"/><Relationship Id="rId305" Type="http://schemas.openxmlformats.org/officeDocument/2006/relationships/hyperlink" Target="https://community.secop.gov.co/Public/Tendering/ContractNoticePhases/View?PPI=CO1.PPI.39634933&amp;isFromPublicArea=True&amp;isModal=False" TargetMode="External"/><Relationship Id="rId304" Type="http://schemas.openxmlformats.org/officeDocument/2006/relationships/hyperlink" Target="https://community.secop.gov.co/Public/Tendering/ContractNoticePhases/View?PPI=CO1.PPI.39617604&amp;isFromPublicArea=True&amp;isModal=False" TargetMode="External"/><Relationship Id="rId303" Type="http://schemas.openxmlformats.org/officeDocument/2006/relationships/hyperlink" Target="https://community.secop.gov.co/Public/Tendering/ContractNoticePhases/View?PPI=CO1.PPI.39520035&amp;isFromPublicArea=True&amp;isModal=False" TargetMode="External"/><Relationship Id="rId302" Type="http://schemas.openxmlformats.org/officeDocument/2006/relationships/hyperlink" Target="https://community.secop.gov.co/Public/Tendering/ContractNoticePhases/View?PPI=CO1.PPI.39475565&amp;isFromPublicArea=True&amp;isModal=False" TargetMode="External"/><Relationship Id="rId309" Type="http://schemas.openxmlformats.org/officeDocument/2006/relationships/hyperlink" Target="https://community.secop.gov.co/Public/Tendering/ContractNoticePhases/View?PPI=CO1.PPI.39829109&amp;isFromPublicArea=True&amp;isModal=False" TargetMode="External"/><Relationship Id="rId308" Type="http://schemas.openxmlformats.org/officeDocument/2006/relationships/hyperlink" Target="https://community.secop.gov.co/Public/Tendering/ContractNoticePhases/View?PPI=CO1.PPI.39827259&amp;isFromPublicArea=True&amp;isModal=False" TargetMode="External"/><Relationship Id="rId307" Type="http://schemas.openxmlformats.org/officeDocument/2006/relationships/hyperlink" Target="https://community.secop.gov.co/Public/Tendering/ContractNoticePhases/View?PPI=CO1.PPI.39750149&amp;isFromPublicArea=True&amp;isModal=False" TargetMode="External"/><Relationship Id="rId306" Type="http://schemas.openxmlformats.org/officeDocument/2006/relationships/hyperlink" Target="https://community.secop.gov.co/Public/Tendering/ContractNoticePhases/View?PPI=CO1.PPI.39685258&amp;isFromPublicArea=True&amp;isModal=False" TargetMode="External"/><Relationship Id="rId301" Type="http://schemas.openxmlformats.org/officeDocument/2006/relationships/hyperlink" Target="https://community.secop.gov.co/Public/Tendering/ContractNoticePhases/View?PPI=CO1.PPI.39335310&amp;isFromPublicArea=True&amp;isModal=False" TargetMode="External"/><Relationship Id="rId300" Type="http://schemas.openxmlformats.org/officeDocument/2006/relationships/hyperlink" Target="https://community.secop.gov.co/Public/Tendering/ContractNoticePhases/View?PPI=CO1.PPI.39108851&amp;isFromPublicArea=True&amp;isModal=False" TargetMode="External"/><Relationship Id="rId206" Type="http://schemas.openxmlformats.org/officeDocument/2006/relationships/hyperlink" Target="https://community.secop.gov.co/Public/Tendering/ContractNoticePhases/View?PPI=CO1.PPI.37179256&amp;isFromPublicArea=True&amp;isModal=False" TargetMode="External"/><Relationship Id="rId205" Type="http://schemas.openxmlformats.org/officeDocument/2006/relationships/hyperlink" Target="https://community.secop.gov.co/Public/Tendering/ContractNoticePhases/View?PPI=CO1.PPI.37164097&amp;isFromPublicArea=True&amp;isModal=False" TargetMode="External"/><Relationship Id="rId204" Type="http://schemas.openxmlformats.org/officeDocument/2006/relationships/hyperlink" Target="https://community.secop.gov.co/Public/Tendering/ContractNoticePhases/View?PPI=CO1.PPI.37179300&amp;isFromPublicArea=True&amp;isModal=False" TargetMode="External"/><Relationship Id="rId203" Type="http://schemas.openxmlformats.org/officeDocument/2006/relationships/hyperlink" Target="https://community.secop.gov.co/Public/Tendering/ContractNoticePhases/View?PPI=CO1.PPI.37184964&amp;isFromPublicArea=True&amp;isModal=False" TargetMode="External"/><Relationship Id="rId209" Type="http://schemas.openxmlformats.org/officeDocument/2006/relationships/hyperlink" Target="https://community.secop.gov.co/Public/Tendering/ContractNoticePhases/View?PPI=CO1.PPI.37247044&amp;isFromPublicArea=True&amp;isModal=False" TargetMode="External"/><Relationship Id="rId208" Type="http://schemas.openxmlformats.org/officeDocument/2006/relationships/hyperlink" Target="https://community.secop.gov.co/Public/Tendering/ContractNoticePhases/View?PPI=CO1.PPI.37197421&amp;isFromPublicArea=True&amp;isModal=False" TargetMode="External"/><Relationship Id="rId207" Type="http://schemas.openxmlformats.org/officeDocument/2006/relationships/hyperlink" Target="https://community.secop.gov.co/Public/Tendering/ContractNoticePhases/View?PPI=CO1.PPI.37181613&amp;isFromPublicArea=True&amp;isModal=False" TargetMode="External"/><Relationship Id="rId202" Type="http://schemas.openxmlformats.org/officeDocument/2006/relationships/hyperlink" Target="https://community.secop.gov.co/Public/Tendering/ContractNoticePhases/View?PPI=CO1.PPI.37164028&amp;isFromPublicArea=True&amp;isModal=False" TargetMode="External"/><Relationship Id="rId201" Type="http://schemas.openxmlformats.org/officeDocument/2006/relationships/hyperlink" Target="https://community.secop.gov.co/Public/Tendering/ContractNoticePhases/View?PPI=CO1.PPI.37161598&amp;isFromPublicArea=True&amp;isModal=False" TargetMode="External"/><Relationship Id="rId200" Type="http://schemas.openxmlformats.org/officeDocument/2006/relationships/hyperlink" Target="https://community.secop.gov.co/Public/Tendering/ContractNoticePhases/View?PPI=CO1.PPI.37151778&amp;isFromPublicArea=True&amp;isModal=False" TargetMode="External"/><Relationship Id="rId311" Type="http://schemas.openxmlformats.org/officeDocument/2006/relationships/drawing" Target="../drawings/drawing3.xml"/><Relationship Id="rId310" Type="http://schemas.openxmlformats.org/officeDocument/2006/relationships/hyperlink" Target="https://community.secop.gov.co/Public/Tendering/ContractNoticePhases/View?PPI=CO1.PPI.39837363&amp;isFromPublicArea=True&amp;isModal=False"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2.0" topLeftCell="A3" activePane="bottomLeft" state="frozen"/>
      <selection activeCell="B4" sqref="B4" pane="bottomLeft"/>
    </sheetView>
  </sheetViews>
  <sheetFormatPr customHeight="1" defaultColWidth="14.43" defaultRowHeight="15.0"/>
  <cols>
    <col customWidth="1" min="1" max="1" width="4.43"/>
    <col customWidth="1" min="2" max="2" width="9.71"/>
    <col customWidth="1" min="3" max="3" width="18.43"/>
    <col customWidth="1" min="4" max="4" width="14.71"/>
    <col customWidth="1" min="5" max="6" width="20.57"/>
    <col customWidth="1" min="7" max="7" width="52.71"/>
    <col customWidth="1" min="8" max="8" width="22.29"/>
    <col customWidth="1" min="9" max="9" width="18.29"/>
    <col customWidth="1" min="10" max="10" width="14.29"/>
    <col customWidth="1" min="11" max="11" width="13.57"/>
    <col customWidth="1" min="12" max="12" width="19.29"/>
    <col customWidth="1" min="13" max="13" width="13.14"/>
    <col customWidth="1" min="14" max="14" width="17.29"/>
    <col customWidth="1" min="15" max="15" width="17.0"/>
    <col customWidth="1" min="16" max="16" width="29.43"/>
    <col customWidth="1" min="17" max="18" width="10.43"/>
    <col customWidth="1" min="19" max="19" width="15.57"/>
    <col customWidth="1" min="20" max="20" width="12.0"/>
    <col customWidth="1" min="21" max="21" width="11.14"/>
    <col customWidth="1" min="22" max="22" width="15.71"/>
    <col customWidth="1" min="23" max="23" width="10.86"/>
    <col customWidth="1" min="24" max="27" width="16.0"/>
    <col customWidth="1" min="28" max="28" width="14.86"/>
    <col customWidth="1" min="29" max="30" width="13.71"/>
  </cols>
  <sheetData>
    <row r="1" ht="51.0" customHeight="1">
      <c r="A1" s="1" t="s">
        <v>0</v>
      </c>
      <c r="B1" s="2"/>
      <c r="C1" s="2"/>
      <c r="D1" s="2"/>
      <c r="E1" s="2"/>
      <c r="F1" s="2"/>
      <c r="G1" s="2"/>
      <c r="H1" s="2"/>
      <c r="I1" s="2"/>
      <c r="J1" s="2"/>
      <c r="K1" s="2"/>
      <c r="L1" s="2"/>
      <c r="M1" s="2"/>
      <c r="N1" s="2"/>
      <c r="O1" s="2"/>
      <c r="P1" s="2"/>
      <c r="Q1" s="2"/>
      <c r="R1" s="2"/>
      <c r="S1" s="2"/>
      <c r="T1" s="2"/>
      <c r="U1" s="2"/>
      <c r="V1" s="2"/>
      <c r="W1" s="2"/>
      <c r="X1" s="2"/>
      <c r="Y1" s="2"/>
      <c r="Z1" s="2"/>
      <c r="AA1" s="2"/>
      <c r="AB1" s="2"/>
      <c r="AC1" s="3"/>
      <c r="AD1" s="4"/>
    </row>
    <row r="2" ht="46.5" customHeight="1">
      <c r="A2" s="5" t="s">
        <v>1</v>
      </c>
      <c r="B2" s="5" t="s">
        <v>2</v>
      </c>
      <c r="C2" s="5" t="s">
        <v>3</v>
      </c>
      <c r="D2" s="5" t="s">
        <v>4</v>
      </c>
      <c r="E2" s="6" t="s">
        <v>5</v>
      </c>
      <c r="F2" s="6" t="s">
        <v>6</v>
      </c>
      <c r="G2" s="6" t="s">
        <v>7</v>
      </c>
      <c r="H2" s="6" t="s">
        <v>8</v>
      </c>
      <c r="I2" s="6" t="s">
        <v>9</v>
      </c>
      <c r="J2" s="6" t="s">
        <v>10</v>
      </c>
      <c r="K2" s="6" t="s">
        <v>11</v>
      </c>
      <c r="L2" s="6" t="s">
        <v>12</v>
      </c>
      <c r="M2" s="6" t="s">
        <v>13</v>
      </c>
      <c r="N2" s="6" t="s">
        <v>14</v>
      </c>
      <c r="O2" s="6" t="s">
        <v>15</v>
      </c>
      <c r="P2" s="6" t="s">
        <v>16</v>
      </c>
      <c r="Q2" s="6" t="s">
        <v>17</v>
      </c>
      <c r="R2" s="6" t="s">
        <v>18</v>
      </c>
      <c r="S2" s="6" t="s">
        <v>19</v>
      </c>
      <c r="T2" s="6" t="s">
        <v>20</v>
      </c>
      <c r="U2" s="6" t="s">
        <v>21</v>
      </c>
      <c r="V2" s="6" t="s">
        <v>22</v>
      </c>
      <c r="W2" s="6" t="s">
        <v>23</v>
      </c>
      <c r="X2" s="6" t="s">
        <v>24</v>
      </c>
      <c r="Y2" s="6" t="s">
        <v>25</v>
      </c>
      <c r="Z2" s="6" t="s">
        <v>26</v>
      </c>
      <c r="AA2" s="6" t="s">
        <v>27</v>
      </c>
      <c r="AB2" s="6" t="s">
        <v>28</v>
      </c>
      <c r="AC2" s="6" t="s">
        <v>29</v>
      </c>
      <c r="AD2" s="6"/>
    </row>
    <row r="3" ht="44.25" customHeight="1">
      <c r="A3" s="7">
        <v>1.0</v>
      </c>
      <c r="B3" s="8" t="s">
        <v>30</v>
      </c>
      <c r="C3" s="7" t="s">
        <v>31</v>
      </c>
      <c r="D3" s="7" t="s">
        <v>32</v>
      </c>
      <c r="E3" s="8" t="s">
        <v>33</v>
      </c>
      <c r="F3" s="8" t="s">
        <v>34</v>
      </c>
      <c r="G3" s="9" t="s">
        <v>35</v>
      </c>
      <c r="H3" s="8" t="s">
        <v>36</v>
      </c>
      <c r="I3" s="8" t="s">
        <v>37</v>
      </c>
      <c r="J3" s="10">
        <v>9.7749993E7</v>
      </c>
      <c r="K3" s="11"/>
      <c r="L3" s="10">
        <f t="shared" ref="L3:L276" si="1">J3+K3</f>
        <v>97749993</v>
      </c>
      <c r="M3" s="12">
        <f>IFERROR(__xludf.DUMMYFUNCTION("+N3/L3"),0.5242424211733703)</f>
        <v>0.5242424212</v>
      </c>
      <c r="N3" s="13">
        <v>5.1244693E7</v>
      </c>
      <c r="O3" s="13">
        <f t="shared" ref="O3:O303" si="2">L3-N3</f>
        <v>46505300</v>
      </c>
      <c r="P3" s="8" t="s">
        <v>38</v>
      </c>
      <c r="Q3" s="8">
        <v>1725.0</v>
      </c>
      <c r="R3" s="8">
        <v>825.0</v>
      </c>
      <c r="S3" s="14">
        <v>45664.0</v>
      </c>
      <c r="T3" s="15" t="s">
        <v>39</v>
      </c>
      <c r="U3" s="14">
        <v>45665.0</v>
      </c>
      <c r="V3" s="16" t="str">
        <f>VLOOKUP(F3,RANGOPRORROGAS,24,FALSE)</f>
        <v/>
      </c>
      <c r="W3" s="8">
        <v>330.0</v>
      </c>
      <c r="X3" s="8">
        <v>333.0</v>
      </c>
      <c r="Y3" s="8">
        <v>58.55855856</v>
      </c>
      <c r="Z3" s="17">
        <f>VLOOKUP(F3,RANGOFECHAFINAL,25,FALSE)</f>
        <v>45998</v>
      </c>
      <c r="AA3" s="8" t="s">
        <v>40</v>
      </c>
      <c r="AB3" s="8" t="s">
        <v>41</v>
      </c>
      <c r="AC3" s="8" t="s">
        <v>42</v>
      </c>
      <c r="AD3" s="7"/>
    </row>
    <row r="4" ht="46.5" customHeight="1">
      <c r="A4" s="7">
        <v>2.0</v>
      </c>
      <c r="B4" s="8" t="s">
        <v>30</v>
      </c>
      <c r="C4" s="7" t="s">
        <v>43</v>
      </c>
      <c r="D4" s="7" t="s">
        <v>32</v>
      </c>
      <c r="E4" s="8" t="s">
        <v>33</v>
      </c>
      <c r="F4" s="8" t="s">
        <v>44</v>
      </c>
      <c r="G4" s="9" t="s">
        <v>45</v>
      </c>
      <c r="H4" s="8" t="s">
        <v>46</v>
      </c>
      <c r="I4" s="8">
        <v>3.7279138E7</v>
      </c>
      <c r="J4" s="10">
        <v>1.265E8</v>
      </c>
      <c r="K4" s="11"/>
      <c r="L4" s="10">
        <f t="shared" si="1"/>
        <v>126500000</v>
      </c>
      <c r="M4" s="12">
        <f>IFERROR(__xludf.DUMMYFUNCTION("+N4/L4"),0.5014492727272727)</f>
        <v>0.5014492727</v>
      </c>
      <c r="N4" s="13">
        <v>6.3433333E7</v>
      </c>
      <c r="O4" s="13">
        <f t="shared" si="2"/>
        <v>63066667</v>
      </c>
      <c r="P4" s="8" t="s">
        <v>47</v>
      </c>
      <c r="Q4" s="8">
        <v>1925.0</v>
      </c>
      <c r="R4" s="8">
        <v>925.0</v>
      </c>
      <c r="S4" s="14">
        <v>45664.0</v>
      </c>
      <c r="T4" s="15" t="s">
        <v>39</v>
      </c>
      <c r="U4" s="14">
        <v>45665.0</v>
      </c>
      <c r="V4" s="16" t="str">
        <f>VLOOKUP(F4,RANGOPRORROGAS,24,FALSE)</f>
        <v/>
      </c>
      <c r="W4" s="8">
        <v>348.0</v>
      </c>
      <c r="X4" s="8">
        <v>348.0</v>
      </c>
      <c r="Y4" s="8">
        <v>56.03448276</v>
      </c>
      <c r="Z4" s="17">
        <f>VLOOKUP(F4,RANGOFECHAFINAL,25,FALSE)</f>
        <v>46013</v>
      </c>
      <c r="AA4" s="8" t="s">
        <v>48</v>
      </c>
      <c r="AB4" s="8" t="s">
        <v>41</v>
      </c>
      <c r="AC4" s="8" t="s">
        <v>42</v>
      </c>
      <c r="AD4" s="7"/>
    </row>
    <row r="5" ht="93.0" customHeight="1">
      <c r="A5" s="7">
        <v>3.0</v>
      </c>
      <c r="B5" s="8" t="s">
        <v>30</v>
      </c>
      <c r="C5" s="7" t="s">
        <v>49</v>
      </c>
      <c r="D5" s="7" t="s">
        <v>32</v>
      </c>
      <c r="E5" s="8" t="s">
        <v>33</v>
      </c>
      <c r="F5" s="8" t="s">
        <v>50</v>
      </c>
      <c r="G5" s="9" t="s">
        <v>51</v>
      </c>
      <c r="H5" s="8" t="s">
        <v>52</v>
      </c>
      <c r="I5" s="8">
        <v>1.053821048E9</v>
      </c>
      <c r="J5" s="10">
        <v>5.50505E7</v>
      </c>
      <c r="K5" s="11">
        <v>7601000.0</v>
      </c>
      <c r="L5" s="10">
        <f t="shared" si="1"/>
        <v>62651500</v>
      </c>
      <c r="M5" s="12">
        <f>IFERROR(__xludf.DUMMYFUNCTION("+N5/L5"),0.4725611836907337)</f>
        <v>0.4725611837</v>
      </c>
      <c r="N5" s="13">
        <v>2.9606667E7</v>
      </c>
      <c r="O5" s="13">
        <f t="shared" si="2"/>
        <v>33044833</v>
      </c>
      <c r="P5" s="8" t="s">
        <v>53</v>
      </c>
      <c r="Q5" s="8">
        <v>2225.0</v>
      </c>
      <c r="R5" s="8">
        <v>1125.0</v>
      </c>
      <c r="S5" s="14">
        <v>45664.0</v>
      </c>
      <c r="T5" s="15"/>
      <c r="U5" s="14">
        <v>45666.0</v>
      </c>
      <c r="V5" s="8">
        <f>VLOOKUP(F5,RANGOPRORROGAS,24,FALSE)</f>
        <v>7</v>
      </c>
      <c r="W5" s="8">
        <v>348.0</v>
      </c>
      <c r="X5" s="8">
        <f t="shared" ref="X5:X233" si="3">W5+V5</f>
        <v>355</v>
      </c>
      <c r="Y5" s="8">
        <v>54.49438202</v>
      </c>
      <c r="Z5" s="17">
        <f>VLOOKUP(F5,RANGOFECHAFINAL,25,FALSE)</f>
        <v>46022</v>
      </c>
      <c r="AA5" s="8" t="s">
        <v>48</v>
      </c>
      <c r="AB5" s="8" t="s">
        <v>41</v>
      </c>
      <c r="AC5" s="8" t="s">
        <v>42</v>
      </c>
      <c r="AD5" s="7"/>
    </row>
    <row r="6">
      <c r="A6" s="7">
        <v>4.0</v>
      </c>
      <c r="B6" s="8" t="s">
        <v>30</v>
      </c>
      <c r="C6" s="7" t="s">
        <v>54</v>
      </c>
      <c r="D6" s="7" t="s">
        <v>32</v>
      </c>
      <c r="E6" s="8" t="s">
        <v>33</v>
      </c>
      <c r="F6" s="8" t="s">
        <v>55</v>
      </c>
      <c r="G6" s="9" t="s">
        <v>56</v>
      </c>
      <c r="H6" s="8" t="s">
        <v>57</v>
      </c>
      <c r="I6" s="8">
        <v>1.082863101E9</v>
      </c>
      <c r="J6" s="10">
        <v>4.2E7</v>
      </c>
      <c r="K6" s="11"/>
      <c r="L6" s="10">
        <f t="shared" si="1"/>
        <v>42000000</v>
      </c>
      <c r="M6" s="12">
        <f>IFERROR(__xludf.DUMMYFUNCTION("+N6/L6"),0.8238095238095238)</f>
        <v>0.8238095238</v>
      </c>
      <c r="N6" s="13">
        <v>3.46E7</v>
      </c>
      <c r="O6" s="13">
        <f t="shared" si="2"/>
        <v>7400000</v>
      </c>
      <c r="P6" s="8" t="s">
        <v>47</v>
      </c>
      <c r="Q6" s="8">
        <v>2125.0</v>
      </c>
      <c r="R6" s="8">
        <v>1025.0</v>
      </c>
      <c r="S6" s="14">
        <v>45664.0</v>
      </c>
      <c r="T6" s="15"/>
      <c r="U6" s="14">
        <v>45665.0</v>
      </c>
      <c r="V6" s="8" t="str">
        <f>VLOOKUP(F6,RANGOPRORROGAS,24,FALSE)</f>
        <v/>
      </c>
      <c r="W6" s="8">
        <v>211.0</v>
      </c>
      <c r="X6" s="8">
        <f t="shared" si="3"/>
        <v>211</v>
      </c>
      <c r="Y6" s="8">
        <v>92.41706161</v>
      </c>
      <c r="Z6" s="17">
        <f>VLOOKUP(F6,RANGOFECHAFINAL,25,FALSE)</f>
        <v>45876</v>
      </c>
      <c r="AA6" s="8" t="s">
        <v>48</v>
      </c>
      <c r="AB6" s="8" t="s">
        <v>41</v>
      </c>
      <c r="AC6" s="8" t="s">
        <v>42</v>
      </c>
      <c r="AD6" s="7"/>
    </row>
    <row r="7">
      <c r="A7" s="7">
        <v>5.0</v>
      </c>
      <c r="B7" s="8" t="s">
        <v>30</v>
      </c>
      <c r="C7" s="7" t="s">
        <v>58</v>
      </c>
      <c r="D7" s="7" t="s">
        <v>32</v>
      </c>
      <c r="E7" s="8" t="s">
        <v>33</v>
      </c>
      <c r="F7" s="8" t="s">
        <v>59</v>
      </c>
      <c r="G7" s="9" t="s">
        <v>60</v>
      </c>
      <c r="H7" s="8" t="s">
        <v>61</v>
      </c>
      <c r="I7" s="8">
        <v>1.057582613E9</v>
      </c>
      <c r="J7" s="10">
        <v>7.7E7</v>
      </c>
      <c r="K7" s="11"/>
      <c r="L7" s="10">
        <f t="shared" si="1"/>
        <v>77000000</v>
      </c>
      <c r="M7" s="12">
        <f>IFERROR(__xludf.DUMMYFUNCTION("+N7/L7"),0.5212121211688312)</f>
        <v>0.5212121212</v>
      </c>
      <c r="N7" s="13">
        <v>4.013333333E7</v>
      </c>
      <c r="O7" s="13">
        <f t="shared" si="2"/>
        <v>36866666.67</v>
      </c>
      <c r="P7" s="8" t="s">
        <v>62</v>
      </c>
      <c r="Q7" s="8">
        <v>1125.0</v>
      </c>
      <c r="R7" s="8">
        <v>1325.0</v>
      </c>
      <c r="S7" s="14">
        <v>45665.0</v>
      </c>
      <c r="T7" s="15"/>
      <c r="U7" s="14">
        <v>45666.0</v>
      </c>
      <c r="V7" s="8" t="str">
        <f>VLOOKUP(F7,RANGOPRORROGAS,24,FALSE)</f>
        <v/>
      </c>
      <c r="W7" s="8">
        <v>333.0</v>
      </c>
      <c r="X7" s="8">
        <f t="shared" si="3"/>
        <v>333</v>
      </c>
      <c r="Y7" s="8">
        <v>58.25825826</v>
      </c>
      <c r="Z7" s="17">
        <f>VLOOKUP(F7,RANGOFECHAFINAL,25,FALSE)</f>
        <v>45999</v>
      </c>
      <c r="AA7" s="8" t="s">
        <v>40</v>
      </c>
      <c r="AB7" s="8" t="s">
        <v>41</v>
      </c>
      <c r="AC7" s="8" t="s">
        <v>42</v>
      </c>
      <c r="AD7" s="7"/>
    </row>
    <row r="8">
      <c r="A8" s="7">
        <v>6.0</v>
      </c>
      <c r="B8" s="8" t="s">
        <v>30</v>
      </c>
      <c r="C8" s="7" t="s">
        <v>63</v>
      </c>
      <c r="D8" s="7" t="s">
        <v>32</v>
      </c>
      <c r="E8" s="8" t="s">
        <v>33</v>
      </c>
      <c r="F8" s="8" t="s">
        <v>64</v>
      </c>
      <c r="G8" s="9" t="s">
        <v>65</v>
      </c>
      <c r="H8" s="8" t="s">
        <v>66</v>
      </c>
      <c r="I8" s="8">
        <v>1.019094411E9</v>
      </c>
      <c r="J8" s="10">
        <v>1.8E7</v>
      </c>
      <c r="K8" s="11">
        <v>1.8E7</v>
      </c>
      <c r="L8" s="10">
        <f t="shared" si="1"/>
        <v>36000000</v>
      </c>
      <c r="M8" s="12">
        <f>IFERROR(__xludf.DUMMYFUNCTION("+N8/L8"),0.9555555555555556)</f>
        <v>0.9555555556</v>
      </c>
      <c r="N8" s="13">
        <v>3.44E7</v>
      </c>
      <c r="O8" s="13">
        <f t="shared" si="2"/>
        <v>1600000</v>
      </c>
      <c r="P8" s="8" t="s">
        <v>67</v>
      </c>
      <c r="Q8" s="8">
        <v>2025.0</v>
      </c>
      <c r="R8" s="8">
        <v>1425.0</v>
      </c>
      <c r="S8" s="14">
        <v>45665.0</v>
      </c>
      <c r="T8" s="15"/>
      <c r="U8" s="14">
        <v>45666.0</v>
      </c>
      <c r="V8" s="8">
        <f>VLOOKUP(F8,RANGOPRORROGAS,24,FALSE)</f>
        <v>90</v>
      </c>
      <c r="W8" s="8">
        <v>89.0</v>
      </c>
      <c r="X8" s="8">
        <f t="shared" si="3"/>
        <v>179</v>
      </c>
      <c r="Y8" s="8">
        <v>100.0</v>
      </c>
      <c r="Z8" s="17">
        <f>VLOOKUP(F8,RANGOFECHAFINAL,25,FALSE)</f>
        <v>45846</v>
      </c>
      <c r="AA8" s="8" t="s">
        <v>68</v>
      </c>
      <c r="AB8" s="8" t="s">
        <v>41</v>
      </c>
      <c r="AC8" s="8" t="s">
        <v>42</v>
      </c>
      <c r="AD8" s="7"/>
    </row>
    <row r="9">
      <c r="A9" s="7">
        <v>7.0</v>
      </c>
      <c r="B9" s="8" t="s">
        <v>30</v>
      </c>
      <c r="C9" s="7" t="s">
        <v>69</v>
      </c>
      <c r="D9" s="7" t="s">
        <v>32</v>
      </c>
      <c r="E9" s="8" t="s">
        <v>33</v>
      </c>
      <c r="F9" s="8" t="s">
        <v>70</v>
      </c>
      <c r="G9" s="9" t="s">
        <v>65</v>
      </c>
      <c r="H9" s="8" t="s">
        <v>71</v>
      </c>
      <c r="I9" s="8">
        <v>1.075248422E9</v>
      </c>
      <c r="J9" s="10">
        <v>1.8E7</v>
      </c>
      <c r="K9" s="11">
        <v>-7600000.0</v>
      </c>
      <c r="L9" s="10">
        <f t="shared" si="1"/>
        <v>10400000</v>
      </c>
      <c r="M9" s="12">
        <f>IFERROR(__xludf.DUMMYFUNCTION("+N9/L9"),1.0)</f>
        <v>1</v>
      </c>
      <c r="N9" s="13">
        <v>1.04E7</v>
      </c>
      <c r="O9" s="13">
        <f t="shared" si="2"/>
        <v>0</v>
      </c>
      <c r="P9" s="8" t="s">
        <v>53</v>
      </c>
      <c r="Q9" s="8">
        <v>2625.0</v>
      </c>
      <c r="R9" s="8">
        <v>1925.0</v>
      </c>
      <c r="S9" s="14">
        <v>45665.0</v>
      </c>
      <c r="T9" s="15"/>
      <c r="U9" s="14">
        <v>45666.0</v>
      </c>
      <c r="V9" s="8"/>
      <c r="W9" s="8">
        <v>89.0</v>
      </c>
      <c r="X9" s="8">
        <f t="shared" si="3"/>
        <v>89</v>
      </c>
      <c r="Y9" s="8">
        <v>100.0</v>
      </c>
      <c r="Z9" s="18">
        <v>45716.0</v>
      </c>
      <c r="AA9" s="8" t="s">
        <v>48</v>
      </c>
      <c r="AB9" s="8" t="s">
        <v>41</v>
      </c>
      <c r="AC9" s="8" t="s">
        <v>72</v>
      </c>
      <c r="AD9" s="7"/>
    </row>
    <row r="10">
      <c r="A10" s="7">
        <v>8.0</v>
      </c>
      <c r="B10" s="7" t="s">
        <v>30</v>
      </c>
      <c r="C10" s="7" t="s">
        <v>73</v>
      </c>
      <c r="D10" s="7" t="s">
        <v>32</v>
      </c>
      <c r="E10" s="8" t="s">
        <v>33</v>
      </c>
      <c r="F10" s="8" t="s">
        <v>74</v>
      </c>
      <c r="G10" s="9" t="s">
        <v>75</v>
      </c>
      <c r="H10" s="8" t="s">
        <v>76</v>
      </c>
      <c r="I10" s="8">
        <v>3.9464093E7</v>
      </c>
      <c r="J10" s="10">
        <v>1.8E7</v>
      </c>
      <c r="K10" s="11"/>
      <c r="L10" s="10">
        <f t="shared" si="1"/>
        <v>18000000</v>
      </c>
      <c r="M10" s="12">
        <f>IFERROR(__xludf.DUMMYFUNCTION("+N10/L10"),1.0)</f>
        <v>1</v>
      </c>
      <c r="N10" s="13">
        <v>1.8E7</v>
      </c>
      <c r="O10" s="13">
        <f t="shared" si="2"/>
        <v>0</v>
      </c>
      <c r="P10" s="8" t="s">
        <v>77</v>
      </c>
      <c r="Q10" s="8">
        <v>3925.0</v>
      </c>
      <c r="R10" s="8">
        <v>1825.0</v>
      </c>
      <c r="S10" s="14">
        <v>45665.0</v>
      </c>
      <c r="T10" s="15"/>
      <c r="U10" s="14">
        <v>45666.0</v>
      </c>
      <c r="V10" s="8"/>
      <c r="W10" s="8">
        <v>89.0</v>
      </c>
      <c r="X10" s="8">
        <f t="shared" si="3"/>
        <v>89</v>
      </c>
      <c r="Y10" s="8">
        <v>100.0</v>
      </c>
      <c r="Z10" s="18">
        <v>45755.0</v>
      </c>
      <c r="AA10" s="8" t="s">
        <v>40</v>
      </c>
      <c r="AB10" s="8" t="s">
        <v>41</v>
      </c>
      <c r="AC10" s="8" t="s">
        <v>42</v>
      </c>
      <c r="AD10" s="7"/>
    </row>
    <row r="11" hidden="1">
      <c r="A11" s="7"/>
      <c r="B11" s="8" t="s">
        <v>78</v>
      </c>
      <c r="C11" s="7" t="s">
        <v>79</v>
      </c>
      <c r="D11" s="7" t="s">
        <v>80</v>
      </c>
      <c r="E11" s="8" t="s">
        <v>81</v>
      </c>
      <c r="F11" s="8" t="s">
        <v>82</v>
      </c>
      <c r="G11" s="9" t="s">
        <v>83</v>
      </c>
      <c r="H11" s="8" t="s">
        <v>84</v>
      </c>
      <c r="I11" s="8">
        <v>8.11009788E8</v>
      </c>
      <c r="J11" s="10">
        <v>1.4E7</v>
      </c>
      <c r="K11" s="11"/>
      <c r="L11" s="10">
        <f t="shared" si="1"/>
        <v>14000000</v>
      </c>
      <c r="M11" s="12">
        <f>IFERROR(__xludf.DUMMYFUNCTION("+N11/L11"),0.22804888857142858)</f>
        <v>0.2280488886</v>
      </c>
      <c r="N11" s="13">
        <v>3192684.44</v>
      </c>
      <c r="O11" s="13">
        <f t="shared" si="2"/>
        <v>10807315.56</v>
      </c>
      <c r="P11" s="8" t="s">
        <v>85</v>
      </c>
      <c r="Q11" s="8">
        <v>6725.0</v>
      </c>
      <c r="R11" s="8">
        <v>2425.0</v>
      </c>
      <c r="S11" s="14">
        <v>45672.0</v>
      </c>
      <c r="T11" s="19">
        <v>45678.0</v>
      </c>
      <c r="U11" s="14">
        <v>45679.0</v>
      </c>
      <c r="V11" s="8"/>
      <c r="W11" s="8">
        <v>345.0</v>
      </c>
      <c r="X11" s="8">
        <f t="shared" si="3"/>
        <v>345</v>
      </c>
      <c r="Y11" s="8">
        <v>52.7696793</v>
      </c>
      <c r="Z11" s="18">
        <v>46022.0</v>
      </c>
      <c r="AA11" s="8" t="s">
        <v>86</v>
      </c>
      <c r="AB11" s="8" t="s">
        <v>41</v>
      </c>
      <c r="AC11" s="8"/>
      <c r="AD11" s="7"/>
    </row>
    <row r="12">
      <c r="A12" s="7">
        <v>9.0</v>
      </c>
      <c r="B12" s="7" t="s">
        <v>30</v>
      </c>
      <c r="C12" s="7" t="s">
        <v>87</v>
      </c>
      <c r="D12" s="7" t="s">
        <v>32</v>
      </c>
      <c r="E12" s="8" t="s">
        <v>33</v>
      </c>
      <c r="F12" s="8" t="s">
        <v>88</v>
      </c>
      <c r="G12" s="9" t="s">
        <v>89</v>
      </c>
      <c r="H12" s="8" t="s">
        <v>90</v>
      </c>
      <c r="I12" s="8">
        <v>1.02078112E9</v>
      </c>
      <c r="J12" s="10">
        <v>9.13353E7</v>
      </c>
      <c r="K12" s="11"/>
      <c r="L12" s="10">
        <f t="shared" si="1"/>
        <v>91335300</v>
      </c>
      <c r="M12" s="12">
        <f>IFERROR(__xludf.DUMMYFUNCTION("+N12/L12"),0.4985507246376812)</f>
        <v>0.4985507246</v>
      </c>
      <c r="N12" s="13">
        <v>4.553528E7</v>
      </c>
      <c r="O12" s="13">
        <f t="shared" si="2"/>
        <v>45800020</v>
      </c>
      <c r="P12" s="8" t="s">
        <v>91</v>
      </c>
      <c r="Q12" s="8">
        <v>1525.0</v>
      </c>
      <c r="R12" s="8">
        <v>1225.0</v>
      </c>
      <c r="S12" s="14">
        <v>45665.0</v>
      </c>
      <c r="T12" s="15"/>
      <c r="U12" s="14">
        <v>45666.0</v>
      </c>
      <c r="V12" s="8" t="str">
        <f>VLOOKUP(F12,RANGOPRORROGAS,24,FALSE)</f>
        <v/>
      </c>
      <c r="W12" s="8">
        <v>348.0</v>
      </c>
      <c r="X12" s="8">
        <f t="shared" si="3"/>
        <v>348</v>
      </c>
      <c r="Y12" s="8">
        <v>55.74712644</v>
      </c>
      <c r="Z12" s="17">
        <f>VLOOKUP(F12,RANGOFECHAFINAL,25,FALSE)</f>
        <v>46014</v>
      </c>
      <c r="AA12" s="8" t="s">
        <v>92</v>
      </c>
      <c r="AB12" s="8" t="s">
        <v>93</v>
      </c>
      <c r="AC12" s="8" t="s">
        <v>42</v>
      </c>
      <c r="AD12" s="7"/>
    </row>
    <row r="13">
      <c r="A13" s="7">
        <v>10.0</v>
      </c>
      <c r="B13" s="7" t="s">
        <v>30</v>
      </c>
      <c r="C13" s="7" t="s">
        <v>94</v>
      </c>
      <c r="D13" s="7" t="s">
        <v>32</v>
      </c>
      <c r="E13" s="8" t="s">
        <v>33</v>
      </c>
      <c r="F13" s="8" t="s">
        <v>95</v>
      </c>
      <c r="G13" s="9" t="s">
        <v>96</v>
      </c>
      <c r="H13" s="8" t="s">
        <v>97</v>
      </c>
      <c r="I13" s="8">
        <v>1.085276539E9</v>
      </c>
      <c r="J13" s="10">
        <v>1.5E8</v>
      </c>
      <c r="K13" s="11"/>
      <c r="L13" s="10">
        <f t="shared" si="1"/>
        <v>150000000</v>
      </c>
      <c r="M13" s="12">
        <f>IFERROR(__xludf.DUMMYFUNCTION("+N13/L13"),0.46696341333333335)</f>
        <v>0.4669634133</v>
      </c>
      <c r="N13" s="13">
        <v>7.0044512E7</v>
      </c>
      <c r="O13" s="13">
        <f t="shared" si="2"/>
        <v>79955488</v>
      </c>
      <c r="P13" s="8" t="s">
        <v>98</v>
      </c>
      <c r="Q13" s="8">
        <v>3625.0</v>
      </c>
      <c r="R13" s="8">
        <v>2125.0</v>
      </c>
      <c r="S13" s="14">
        <v>45666.0</v>
      </c>
      <c r="T13" s="15"/>
      <c r="U13" s="14">
        <v>45667.0</v>
      </c>
      <c r="V13" s="8" t="str">
        <f>VLOOKUP(F13,RANGOPRORROGAS,24,FALSE)</f>
        <v/>
      </c>
      <c r="W13" s="8">
        <v>348.0</v>
      </c>
      <c r="X13" s="8">
        <f t="shared" si="3"/>
        <v>348</v>
      </c>
      <c r="Y13" s="8">
        <v>55.45977011</v>
      </c>
      <c r="Z13" s="17">
        <f>VLOOKUP(F13,RANGOFECHAFINAL,25,FALSE)</f>
        <v>46015</v>
      </c>
      <c r="AA13" s="8" t="s">
        <v>99</v>
      </c>
      <c r="AB13" s="8" t="s">
        <v>100</v>
      </c>
      <c r="AC13" s="8" t="s">
        <v>42</v>
      </c>
      <c r="AD13" s="7"/>
    </row>
    <row r="14">
      <c r="A14" s="7">
        <v>11.0</v>
      </c>
      <c r="B14" s="7" t="s">
        <v>30</v>
      </c>
      <c r="C14" s="7" t="s">
        <v>101</v>
      </c>
      <c r="D14" s="7" t="s">
        <v>32</v>
      </c>
      <c r="E14" s="8" t="s">
        <v>33</v>
      </c>
      <c r="F14" s="8" t="s">
        <v>102</v>
      </c>
      <c r="G14" s="9" t="s">
        <v>103</v>
      </c>
      <c r="H14" s="8" t="s">
        <v>104</v>
      </c>
      <c r="I14" s="8">
        <v>1.016013668E9</v>
      </c>
      <c r="J14" s="10">
        <v>8.625E7</v>
      </c>
      <c r="K14" s="11"/>
      <c r="L14" s="10">
        <f t="shared" si="1"/>
        <v>86250000</v>
      </c>
      <c r="M14" s="12">
        <f>IFERROR(__xludf.DUMMYFUNCTION("+N14/L14"),0.4985507246376812)</f>
        <v>0.4985507246</v>
      </c>
      <c r="N14" s="13">
        <v>4.3E7</v>
      </c>
      <c r="O14" s="13">
        <f t="shared" si="2"/>
        <v>43250000</v>
      </c>
      <c r="P14" s="8" t="s">
        <v>77</v>
      </c>
      <c r="Q14" s="8">
        <v>3525.0</v>
      </c>
      <c r="R14" s="8">
        <v>1525.0</v>
      </c>
      <c r="S14" s="14">
        <v>45665.0</v>
      </c>
      <c r="T14" s="15"/>
      <c r="U14" s="14">
        <v>45666.0</v>
      </c>
      <c r="V14" s="8" t="str">
        <f>VLOOKUP(F14,RANGOPRORROGAS,24,FALSE)</f>
        <v/>
      </c>
      <c r="W14" s="8">
        <v>348.0</v>
      </c>
      <c r="X14" s="8">
        <f t="shared" si="3"/>
        <v>348</v>
      </c>
      <c r="Y14" s="8">
        <v>55.74712644</v>
      </c>
      <c r="Z14" s="17">
        <f>VLOOKUP(F14,RANGOFECHAFINAL,25,FALSE)</f>
        <v>46014</v>
      </c>
      <c r="AA14" s="8" t="s">
        <v>105</v>
      </c>
      <c r="AB14" s="8" t="s">
        <v>106</v>
      </c>
      <c r="AC14" s="8" t="s">
        <v>42</v>
      </c>
      <c r="AD14" s="7"/>
    </row>
    <row r="15">
      <c r="A15" s="7">
        <v>12.0</v>
      </c>
      <c r="B15" s="7" t="s">
        <v>30</v>
      </c>
      <c r="C15" s="7" t="s">
        <v>107</v>
      </c>
      <c r="D15" s="7" t="s">
        <v>32</v>
      </c>
      <c r="E15" s="8" t="s">
        <v>33</v>
      </c>
      <c r="F15" s="8" t="s">
        <v>108</v>
      </c>
      <c r="G15" s="9" t="s">
        <v>109</v>
      </c>
      <c r="H15" s="8" t="s">
        <v>110</v>
      </c>
      <c r="I15" s="8">
        <v>1.032409297E9</v>
      </c>
      <c r="J15" s="10">
        <v>1.035E8</v>
      </c>
      <c r="K15" s="11"/>
      <c r="L15" s="10">
        <f t="shared" si="1"/>
        <v>103500000</v>
      </c>
      <c r="M15" s="12">
        <f>IFERROR(__xludf.DUMMYFUNCTION("+N15/L15"),0.4956521739130435)</f>
        <v>0.4956521739</v>
      </c>
      <c r="N15" s="13">
        <v>5.13E7</v>
      </c>
      <c r="O15" s="13">
        <f t="shared" si="2"/>
        <v>52200000</v>
      </c>
      <c r="P15" s="8" t="s">
        <v>111</v>
      </c>
      <c r="Q15" s="8">
        <v>824.0</v>
      </c>
      <c r="R15" s="8">
        <v>2225.0</v>
      </c>
      <c r="S15" s="14">
        <v>45666.0</v>
      </c>
      <c r="T15" s="15"/>
      <c r="U15" s="14">
        <v>45667.0</v>
      </c>
      <c r="V15" s="8" t="str">
        <f>VLOOKUP(F15,RANGOPRORROGAS,24,FALSE)</f>
        <v/>
      </c>
      <c r="W15" s="8">
        <v>348.0</v>
      </c>
      <c r="X15" s="8">
        <f t="shared" si="3"/>
        <v>348</v>
      </c>
      <c r="Y15" s="8">
        <v>55.45977011</v>
      </c>
      <c r="Z15" s="17">
        <f>VLOOKUP(F15,RANGOFECHAFINAL,25,FALSE)</f>
        <v>46015</v>
      </c>
      <c r="AA15" s="8" t="s">
        <v>112</v>
      </c>
      <c r="AB15" s="8" t="s">
        <v>113</v>
      </c>
      <c r="AC15" s="8" t="s">
        <v>42</v>
      </c>
      <c r="AD15" s="7"/>
    </row>
    <row r="16">
      <c r="A16" s="7">
        <v>13.0</v>
      </c>
      <c r="B16" s="7" t="s">
        <v>30</v>
      </c>
      <c r="C16" s="7" t="s">
        <v>114</v>
      </c>
      <c r="D16" s="7" t="s">
        <v>32</v>
      </c>
      <c r="E16" s="8" t="s">
        <v>33</v>
      </c>
      <c r="F16" s="8" t="s">
        <v>115</v>
      </c>
      <c r="G16" s="9" t="s">
        <v>116</v>
      </c>
      <c r="H16" s="8" t="s">
        <v>117</v>
      </c>
      <c r="I16" s="8">
        <v>5.235846E7</v>
      </c>
      <c r="J16" s="10">
        <v>9.2E7</v>
      </c>
      <c r="K16" s="11"/>
      <c r="L16" s="10">
        <f t="shared" si="1"/>
        <v>92000000</v>
      </c>
      <c r="M16" s="12">
        <f>IFERROR(__xludf.DUMMYFUNCTION("+N16/L16"),0.4956521739130435)</f>
        <v>0.4956521739</v>
      </c>
      <c r="N16" s="13">
        <v>4.56E7</v>
      </c>
      <c r="O16" s="13">
        <f t="shared" si="2"/>
        <v>46400000</v>
      </c>
      <c r="P16" s="8" t="s">
        <v>77</v>
      </c>
      <c r="Q16" s="8">
        <v>4525.0</v>
      </c>
      <c r="R16" s="8">
        <v>2025.0</v>
      </c>
      <c r="S16" s="14">
        <v>45666.0</v>
      </c>
      <c r="T16" s="15"/>
      <c r="U16" s="14">
        <v>45667.0</v>
      </c>
      <c r="V16" s="8" t="str">
        <f>VLOOKUP(F16,RANGOPRORROGAS,24,FALSE)</f>
        <v/>
      </c>
      <c r="W16" s="8">
        <v>347.0</v>
      </c>
      <c r="X16" s="8">
        <f t="shared" si="3"/>
        <v>347</v>
      </c>
      <c r="Y16" s="8">
        <v>55.61959654</v>
      </c>
      <c r="Z16" s="17">
        <f>VLOOKUP(F16,RANGOFECHAFINAL,25,FALSE)</f>
        <v>46014</v>
      </c>
      <c r="AA16" s="8" t="s">
        <v>105</v>
      </c>
      <c r="AB16" s="8" t="s">
        <v>106</v>
      </c>
      <c r="AC16" s="8" t="s">
        <v>42</v>
      </c>
      <c r="AD16" s="7"/>
    </row>
    <row r="17">
      <c r="A17" s="7">
        <v>14.0</v>
      </c>
      <c r="B17" s="7" t="s">
        <v>30</v>
      </c>
      <c r="C17" s="7" t="s">
        <v>118</v>
      </c>
      <c r="D17" s="7" t="s">
        <v>32</v>
      </c>
      <c r="E17" s="8" t="s">
        <v>33</v>
      </c>
      <c r="F17" s="8" t="s">
        <v>119</v>
      </c>
      <c r="G17" s="9" t="s">
        <v>120</v>
      </c>
      <c r="H17" s="8" t="s">
        <v>121</v>
      </c>
      <c r="I17" s="8">
        <v>1.014280937E9</v>
      </c>
      <c r="J17" s="10">
        <v>1.97127E7</v>
      </c>
      <c r="K17" s="11"/>
      <c r="L17" s="10">
        <f t="shared" si="1"/>
        <v>19712700</v>
      </c>
      <c r="M17" s="12">
        <f>IFERROR(__xludf.DUMMYFUNCTION("+N17/L17"),0.6222222222222222)</f>
        <v>0.6222222222</v>
      </c>
      <c r="N17" s="13">
        <f>VLOOKUP(I17,PAGOSTOTALES,18,FALSE)</f>
        <v>12265680</v>
      </c>
      <c r="O17" s="13">
        <f t="shared" si="2"/>
        <v>7447020</v>
      </c>
      <c r="P17" s="8" t="s">
        <v>91</v>
      </c>
      <c r="Q17" s="8">
        <v>4125.0</v>
      </c>
      <c r="R17" s="8">
        <v>1625.0</v>
      </c>
      <c r="S17" s="14">
        <v>45665.0</v>
      </c>
      <c r="T17" s="15"/>
      <c r="U17" s="14">
        <v>45666.0</v>
      </c>
      <c r="V17" s="8">
        <f>VLOOKUP(F17,RANGOPRORROGAS,24,FALSE)</f>
        <v>172</v>
      </c>
      <c r="W17" s="8">
        <v>180.0</v>
      </c>
      <c r="X17" s="8">
        <f t="shared" si="3"/>
        <v>352</v>
      </c>
      <c r="Y17" s="8">
        <v>54.49438202</v>
      </c>
      <c r="Z17" s="17">
        <f>VLOOKUP(F17,RANGOFECHAFINAL,25,FALSE)</f>
        <v>46022</v>
      </c>
      <c r="AA17" s="8" t="s">
        <v>122</v>
      </c>
      <c r="AB17" s="8" t="s">
        <v>93</v>
      </c>
      <c r="AC17" s="8" t="s">
        <v>42</v>
      </c>
      <c r="AD17" s="7"/>
    </row>
    <row r="18">
      <c r="A18" s="7">
        <v>15.0</v>
      </c>
      <c r="B18" s="7" t="s">
        <v>30</v>
      </c>
      <c r="C18" s="7" t="s">
        <v>123</v>
      </c>
      <c r="D18" s="7" t="s">
        <v>32</v>
      </c>
      <c r="E18" s="8" t="s">
        <v>33</v>
      </c>
      <c r="F18" s="8" t="s">
        <v>124</v>
      </c>
      <c r="G18" s="9" t="s">
        <v>125</v>
      </c>
      <c r="H18" s="8" t="s">
        <v>126</v>
      </c>
      <c r="I18" s="8">
        <v>1.013653433E9</v>
      </c>
      <c r="J18" s="10">
        <v>1.0925E8</v>
      </c>
      <c r="K18" s="11"/>
      <c r="L18" s="10">
        <f t="shared" si="1"/>
        <v>109250000</v>
      </c>
      <c r="M18" s="12">
        <f>IFERROR(__xludf.DUMMYFUNCTION("+N18/L18"),0.49855072768878717)</f>
        <v>0.4985507277</v>
      </c>
      <c r="N18" s="13">
        <v>5.4466667E7</v>
      </c>
      <c r="O18" s="13">
        <f t="shared" si="2"/>
        <v>54783333</v>
      </c>
      <c r="P18" s="8" t="s">
        <v>91</v>
      </c>
      <c r="Q18" s="8">
        <v>1225.0</v>
      </c>
      <c r="R18" s="8">
        <v>1725.0</v>
      </c>
      <c r="S18" s="14">
        <v>45665.0</v>
      </c>
      <c r="T18" s="15"/>
      <c r="U18" s="14">
        <v>45666.0</v>
      </c>
      <c r="V18" s="8" t="str">
        <f>VLOOKUP(F18,RANGOPRORROGAS,24,FALSE)</f>
        <v/>
      </c>
      <c r="W18" s="8">
        <v>75.0</v>
      </c>
      <c r="X18" s="8">
        <f t="shared" si="3"/>
        <v>75</v>
      </c>
      <c r="Y18" s="8">
        <v>55.74712644</v>
      </c>
      <c r="Z18" s="17">
        <f>VLOOKUP(F18,RANGOFECHAFINAL,25,FALSE)</f>
        <v>46014</v>
      </c>
      <c r="AA18" s="8" t="s">
        <v>127</v>
      </c>
      <c r="AB18" s="8" t="s">
        <v>128</v>
      </c>
      <c r="AC18" s="8" t="s">
        <v>42</v>
      </c>
      <c r="AD18" s="7"/>
    </row>
    <row r="19">
      <c r="A19" s="7">
        <v>16.0</v>
      </c>
      <c r="B19" s="7" t="s">
        <v>30</v>
      </c>
      <c r="C19" s="7" t="s">
        <v>129</v>
      </c>
      <c r="D19" s="7" t="s">
        <v>32</v>
      </c>
      <c r="E19" s="8" t="s">
        <v>33</v>
      </c>
      <c r="F19" s="8" t="s">
        <v>130</v>
      </c>
      <c r="G19" s="9" t="s">
        <v>131</v>
      </c>
      <c r="H19" s="8" t="s">
        <v>132</v>
      </c>
      <c r="I19" s="8">
        <v>1.010244152E9</v>
      </c>
      <c r="J19" s="10">
        <v>8.008E7</v>
      </c>
      <c r="K19" s="11"/>
      <c r="L19" s="10">
        <f t="shared" si="1"/>
        <v>80080000</v>
      </c>
      <c r="M19" s="12">
        <f>IFERROR(__xludf.DUMMYFUNCTION("+N19/L19"),0.5181818181818182)</f>
        <v>0.5181818182</v>
      </c>
      <c r="N19" s="13">
        <v>4.1496E7</v>
      </c>
      <c r="O19" s="13">
        <f t="shared" si="2"/>
        <v>38584000</v>
      </c>
      <c r="P19" s="8" t="s">
        <v>62</v>
      </c>
      <c r="Q19" s="8">
        <v>1425.0</v>
      </c>
      <c r="R19" s="8">
        <v>3225.0</v>
      </c>
      <c r="S19" s="14">
        <v>45666.0</v>
      </c>
      <c r="T19" s="15"/>
      <c r="U19" s="14">
        <v>45667.0</v>
      </c>
      <c r="V19" s="8" t="str">
        <f>VLOOKUP(F19,RANGOPRORROGAS,24,FALSE)</f>
        <v/>
      </c>
      <c r="W19" s="8">
        <v>333.0</v>
      </c>
      <c r="X19" s="8">
        <f t="shared" si="3"/>
        <v>333</v>
      </c>
      <c r="Y19" s="8">
        <v>57.95795796</v>
      </c>
      <c r="Z19" s="17">
        <f>VLOOKUP(F19,RANGOFECHAFINAL,25,FALSE)</f>
        <v>46000</v>
      </c>
      <c r="AA19" s="8" t="s">
        <v>133</v>
      </c>
      <c r="AB19" s="8" t="s">
        <v>134</v>
      </c>
      <c r="AC19" s="8" t="s">
        <v>42</v>
      </c>
      <c r="AD19" s="7"/>
    </row>
    <row r="20">
      <c r="A20" s="7">
        <v>17.0</v>
      </c>
      <c r="B20" s="7" t="s">
        <v>30</v>
      </c>
      <c r="C20" s="7" t="s">
        <v>135</v>
      </c>
      <c r="D20" s="7" t="s">
        <v>32</v>
      </c>
      <c r="E20" s="8" t="s">
        <v>33</v>
      </c>
      <c r="F20" s="8" t="s">
        <v>136</v>
      </c>
      <c r="G20" s="9" t="s">
        <v>137</v>
      </c>
      <c r="H20" s="8" t="s">
        <v>138</v>
      </c>
      <c r="I20" s="8" t="s">
        <v>139</v>
      </c>
      <c r="J20" s="10">
        <v>8.925E7</v>
      </c>
      <c r="K20" s="11"/>
      <c r="L20" s="10">
        <f t="shared" si="1"/>
        <v>89250000</v>
      </c>
      <c r="M20" s="12">
        <f>IFERROR(__xludf.DUMMYFUNCTION("+N20/L20"),0.5428571428571428)</f>
        <v>0.5428571429</v>
      </c>
      <c r="N20" s="13">
        <v>4.845E7</v>
      </c>
      <c r="O20" s="13">
        <f t="shared" si="2"/>
        <v>40800000</v>
      </c>
      <c r="P20" s="8" t="s">
        <v>47</v>
      </c>
      <c r="Q20" s="8">
        <v>2725.0</v>
      </c>
      <c r="R20" s="8">
        <v>2325.0</v>
      </c>
      <c r="S20" s="14">
        <v>45666.0</v>
      </c>
      <c r="T20" s="15"/>
      <c r="U20" s="14">
        <v>45667.0</v>
      </c>
      <c r="V20" s="8" t="str">
        <f>VLOOKUP(F20,RANGOPRORROGAS,24,FALSE)</f>
        <v/>
      </c>
      <c r="W20" s="8">
        <v>318.0</v>
      </c>
      <c r="X20" s="8">
        <f t="shared" si="3"/>
        <v>318</v>
      </c>
      <c r="Y20" s="8">
        <v>60.6918239</v>
      </c>
      <c r="Z20" s="17">
        <f>VLOOKUP(F20,RANGOFECHAFINAL,25,FALSE)</f>
        <v>45985</v>
      </c>
      <c r="AA20" s="8" t="s">
        <v>140</v>
      </c>
      <c r="AB20" s="8" t="s">
        <v>41</v>
      </c>
      <c r="AC20" s="8" t="s">
        <v>42</v>
      </c>
      <c r="AD20" s="7"/>
    </row>
    <row r="21">
      <c r="A21" s="7">
        <v>18.0</v>
      </c>
      <c r="B21" s="7" t="s">
        <v>30</v>
      </c>
      <c r="C21" s="7" t="s">
        <v>141</v>
      </c>
      <c r="D21" s="7" t="s">
        <v>32</v>
      </c>
      <c r="E21" s="8" t="s">
        <v>33</v>
      </c>
      <c r="F21" s="8" t="s">
        <v>142</v>
      </c>
      <c r="G21" s="9" t="s">
        <v>143</v>
      </c>
      <c r="H21" s="8" t="s">
        <v>144</v>
      </c>
      <c r="I21" s="8">
        <v>5.2215231E7</v>
      </c>
      <c r="J21" s="10">
        <v>2.974784E7</v>
      </c>
      <c r="K21" s="11"/>
      <c r="L21" s="10">
        <f t="shared" si="1"/>
        <v>29747840</v>
      </c>
      <c r="M21" s="12">
        <f>IFERROR(__xludf.DUMMYFUNCTION("+N21/L21"),0.8917338872334932)</f>
        <v>0.8917338872</v>
      </c>
      <c r="N21" s="13">
        <v>2.6527157E7</v>
      </c>
      <c r="O21" s="13">
        <f t="shared" si="2"/>
        <v>3220683</v>
      </c>
      <c r="P21" s="8" t="s">
        <v>145</v>
      </c>
      <c r="Q21" s="8">
        <v>3725.0</v>
      </c>
      <c r="R21" s="8">
        <v>4025.0</v>
      </c>
      <c r="S21" s="14">
        <v>45667.0</v>
      </c>
      <c r="T21" s="15"/>
      <c r="U21" s="14">
        <v>45671.0</v>
      </c>
      <c r="V21" s="8"/>
      <c r="W21" s="8">
        <v>119.0</v>
      </c>
      <c r="X21" s="8">
        <f t="shared" si="3"/>
        <v>119</v>
      </c>
      <c r="Y21" s="8">
        <v>100.0</v>
      </c>
      <c r="Z21" s="18">
        <v>45790.0</v>
      </c>
      <c r="AA21" s="8" t="s">
        <v>146</v>
      </c>
      <c r="AB21" s="8" t="s">
        <v>147</v>
      </c>
      <c r="AC21" s="8" t="s">
        <v>42</v>
      </c>
      <c r="AD21" s="7"/>
    </row>
    <row r="22">
      <c r="A22" s="7">
        <v>19.0</v>
      </c>
      <c r="B22" s="7" t="s">
        <v>30</v>
      </c>
      <c r="C22" s="7" t="s">
        <v>148</v>
      </c>
      <c r="D22" s="7" t="s">
        <v>32</v>
      </c>
      <c r="E22" s="8" t="s">
        <v>33</v>
      </c>
      <c r="F22" s="8" t="s">
        <v>149</v>
      </c>
      <c r="G22" s="9" t="s">
        <v>150</v>
      </c>
      <c r="H22" s="8" t="s">
        <v>151</v>
      </c>
      <c r="I22" s="8">
        <v>1.033684312E9</v>
      </c>
      <c r="J22" s="10">
        <v>1.05270165E8</v>
      </c>
      <c r="K22" s="11"/>
      <c r="L22" s="10">
        <f t="shared" si="1"/>
        <v>105270165</v>
      </c>
      <c r="M22" s="12">
        <f>IFERROR(__xludf.DUMMYFUNCTION("+N22/L22"),0.47863247863247865)</f>
        <v>0.4786324786</v>
      </c>
      <c r="N22" s="13">
        <v>5.038572E7</v>
      </c>
      <c r="O22" s="13">
        <f t="shared" si="2"/>
        <v>54884445</v>
      </c>
      <c r="P22" s="8" t="s">
        <v>152</v>
      </c>
      <c r="Q22" s="8">
        <v>3825.0</v>
      </c>
      <c r="R22" s="8">
        <v>3425.0</v>
      </c>
      <c r="S22" s="14">
        <v>45666.0</v>
      </c>
      <c r="T22" s="15"/>
      <c r="U22" s="14">
        <v>45670.0</v>
      </c>
      <c r="V22" s="8"/>
      <c r="W22" s="8">
        <v>352.0</v>
      </c>
      <c r="X22" s="8">
        <f t="shared" si="3"/>
        <v>352</v>
      </c>
      <c r="Y22" s="8">
        <v>53.97727273</v>
      </c>
      <c r="Z22" s="17">
        <f>VLOOKUP(F22,RANGOFECHAFINAL,25,FALSE)</f>
        <v>46022</v>
      </c>
      <c r="AA22" s="8" t="s">
        <v>153</v>
      </c>
      <c r="AB22" s="8" t="s">
        <v>154</v>
      </c>
      <c r="AC22" s="8" t="s">
        <v>42</v>
      </c>
      <c r="AD22" s="7"/>
    </row>
    <row r="23">
      <c r="A23" s="7">
        <v>20.0</v>
      </c>
      <c r="B23" s="7" t="s">
        <v>30</v>
      </c>
      <c r="C23" s="7" t="s">
        <v>155</v>
      </c>
      <c r="D23" s="7" t="s">
        <v>32</v>
      </c>
      <c r="E23" s="8" t="s">
        <v>33</v>
      </c>
      <c r="F23" s="8" t="s">
        <v>156</v>
      </c>
      <c r="G23" s="9" t="s">
        <v>157</v>
      </c>
      <c r="H23" s="8" t="s">
        <v>158</v>
      </c>
      <c r="I23" s="8">
        <v>8.0076408E7</v>
      </c>
      <c r="J23" s="10">
        <v>2.6E7</v>
      </c>
      <c r="K23" s="11"/>
      <c r="L23" s="10">
        <f t="shared" si="1"/>
        <v>26000000</v>
      </c>
      <c r="M23" s="12">
        <f>IFERROR(__xludf.DUMMYFUNCTION("+N23/L23"),1.0)</f>
        <v>1</v>
      </c>
      <c r="N23" s="13">
        <v>2.6E7</v>
      </c>
      <c r="O23" s="13">
        <f t="shared" si="2"/>
        <v>0</v>
      </c>
      <c r="P23" s="8" t="s">
        <v>111</v>
      </c>
      <c r="Q23" s="8">
        <v>2525.0</v>
      </c>
      <c r="R23" s="8">
        <v>3525.0</v>
      </c>
      <c r="S23" s="14">
        <v>45667.0</v>
      </c>
      <c r="T23" s="15"/>
      <c r="U23" s="14">
        <v>45670.0</v>
      </c>
      <c r="V23" s="8"/>
      <c r="W23" s="8">
        <v>59.0</v>
      </c>
      <c r="X23" s="8">
        <f t="shared" si="3"/>
        <v>59</v>
      </c>
      <c r="Y23" s="8">
        <v>100.0</v>
      </c>
      <c r="Z23" s="18">
        <v>45728.0</v>
      </c>
      <c r="AA23" s="8" t="s">
        <v>112</v>
      </c>
      <c r="AB23" s="8" t="s">
        <v>113</v>
      </c>
      <c r="AC23" s="8" t="s">
        <v>42</v>
      </c>
      <c r="AD23" s="7"/>
    </row>
    <row r="24">
      <c r="A24" s="7">
        <v>21.0</v>
      </c>
      <c r="B24" s="7" t="s">
        <v>30</v>
      </c>
      <c r="C24" s="7" t="s">
        <v>159</v>
      </c>
      <c r="D24" s="7" t="s">
        <v>32</v>
      </c>
      <c r="E24" s="8" t="s">
        <v>33</v>
      </c>
      <c r="F24" s="8" t="s">
        <v>160</v>
      </c>
      <c r="G24" s="9" t="s">
        <v>161</v>
      </c>
      <c r="H24" s="8" t="s">
        <v>162</v>
      </c>
      <c r="I24" s="8">
        <v>1.018456896E9</v>
      </c>
      <c r="J24" s="10">
        <v>9.815E7</v>
      </c>
      <c r="K24" s="11"/>
      <c r="L24" s="10">
        <f t="shared" si="1"/>
        <v>98150000</v>
      </c>
      <c r="M24" s="12">
        <f>IFERROR(__xludf.DUMMYFUNCTION("+N24/L24"),0.5044341925624045)</f>
        <v>0.5044341926</v>
      </c>
      <c r="N24" s="13">
        <v>4.9510216E7</v>
      </c>
      <c r="O24" s="13">
        <f t="shared" si="2"/>
        <v>48639784</v>
      </c>
      <c r="P24" s="8" t="s">
        <v>163</v>
      </c>
      <c r="Q24" s="8">
        <v>2825.0</v>
      </c>
      <c r="R24" s="8">
        <v>2425.0</v>
      </c>
      <c r="S24" s="14">
        <v>45666.0</v>
      </c>
      <c r="T24" s="15"/>
      <c r="U24" s="14">
        <v>45667.0</v>
      </c>
      <c r="V24" s="8" t="str">
        <f>VLOOKUP(F24,RANGOPRORROGAS,24,FALSE)</f>
        <v/>
      </c>
      <c r="W24" s="8">
        <v>333.0</v>
      </c>
      <c r="X24" s="8">
        <f t="shared" si="3"/>
        <v>333</v>
      </c>
      <c r="Y24" s="8">
        <v>57.95795796</v>
      </c>
      <c r="Z24" s="17">
        <f>VLOOKUP(F24,RANGOFECHAFINAL,25,FALSE)</f>
        <v>46000</v>
      </c>
      <c r="AA24" s="8" t="s">
        <v>164</v>
      </c>
      <c r="AB24" s="8" t="s">
        <v>165</v>
      </c>
      <c r="AC24" s="8" t="s">
        <v>42</v>
      </c>
      <c r="AD24" s="7"/>
    </row>
    <row r="25">
      <c r="A25" s="7">
        <v>22.0</v>
      </c>
      <c r="B25" s="7" t="s">
        <v>30</v>
      </c>
      <c r="C25" s="7" t="s">
        <v>166</v>
      </c>
      <c r="D25" s="7" t="s">
        <v>32</v>
      </c>
      <c r="E25" s="8" t="s">
        <v>33</v>
      </c>
      <c r="F25" s="8" t="s">
        <v>167</v>
      </c>
      <c r="G25" s="9" t="s">
        <v>168</v>
      </c>
      <c r="H25" s="8" t="s">
        <v>169</v>
      </c>
      <c r="I25" s="8">
        <v>1.026586964E9</v>
      </c>
      <c r="J25" s="10">
        <v>4.81173E7</v>
      </c>
      <c r="K25" s="11"/>
      <c r="L25" s="10">
        <f t="shared" si="1"/>
        <v>48117300</v>
      </c>
      <c r="M25" s="12">
        <f>IFERROR(__xludf.DUMMYFUNCTION("+N25/L25"),0.5181818181818182)</f>
        <v>0.5181818182</v>
      </c>
      <c r="N25" s="13">
        <v>2.493351E7</v>
      </c>
      <c r="O25" s="13">
        <f t="shared" si="2"/>
        <v>23183790</v>
      </c>
      <c r="P25" s="8" t="s">
        <v>91</v>
      </c>
      <c r="Q25" s="8">
        <v>3425.0</v>
      </c>
      <c r="R25" s="8">
        <v>2625.0</v>
      </c>
      <c r="S25" s="14">
        <v>45666.0</v>
      </c>
      <c r="T25" s="15"/>
      <c r="U25" s="14">
        <v>45667.0</v>
      </c>
      <c r="V25" s="8" t="str">
        <f>VLOOKUP(F25,RANGOPRORROGAS,24,FALSE)</f>
        <v/>
      </c>
      <c r="W25" s="8">
        <v>333.0</v>
      </c>
      <c r="X25" s="8">
        <f t="shared" si="3"/>
        <v>333</v>
      </c>
      <c r="Y25" s="8">
        <v>57.95795796</v>
      </c>
      <c r="Z25" s="17">
        <f>VLOOKUP(F25,RANGOFECHAFINAL,25,FALSE)</f>
        <v>46000</v>
      </c>
      <c r="AA25" s="8" t="s">
        <v>170</v>
      </c>
      <c r="AB25" s="8" t="s">
        <v>93</v>
      </c>
      <c r="AC25" s="8" t="s">
        <v>42</v>
      </c>
      <c r="AD25" s="7"/>
    </row>
    <row r="26">
      <c r="A26" s="7">
        <v>23.0</v>
      </c>
      <c r="B26" s="7" t="s">
        <v>30</v>
      </c>
      <c r="C26" s="7" t="s">
        <v>171</v>
      </c>
      <c r="D26" s="7" t="s">
        <v>32</v>
      </c>
      <c r="E26" s="8" t="s">
        <v>33</v>
      </c>
      <c r="F26" s="8" t="s">
        <v>172</v>
      </c>
      <c r="G26" s="9" t="s">
        <v>173</v>
      </c>
      <c r="H26" s="8" t="s">
        <v>174</v>
      </c>
      <c r="I26" s="8">
        <v>1.014288171E9</v>
      </c>
      <c r="J26" s="10">
        <v>1.035E8</v>
      </c>
      <c r="K26" s="11"/>
      <c r="L26" s="10">
        <f t="shared" si="1"/>
        <v>103500000</v>
      </c>
      <c r="M26" s="12">
        <f>IFERROR(__xludf.DUMMYFUNCTION("+N26/L26"),0.4956521739130435)</f>
        <v>0.4956521739</v>
      </c>
      <c r="N26" s="13">
        <v>5.13E7</v>
      </c>
      <c r="O26" s="13">
        <f t="shared" si="2"/>
        <v>52200000</v>
      </c>
      <c r="P26" s="8" t="s">
        <v>38</v>
      </c>
      <c r="Q26" s="8">
        <v>4025.0</v>
      </c>
      <c r="R26" s="8">
        <v>2725.0</v>
      </c>
      <c r="S26" s="14">
        <v>45666.0</v>
      </c>
      <c r="T26" s="15"/>
      <c r="U26" s="14">
        <v>45667.0</v>
      </c>
      <c r="V26" s="8" t="str">
        <f>VLOOKUP(F26,RANGOPRORROGAS,24,FALSE)</f>
        <v/>
      </c>
      <c r="W26" s="8">
        <v>349.0</v>
      </c>
      <c r="X26" s="8">
        <f t="shared" si="3"/>
        <v>349</v>
      </c>
      <c r="Y26" s="8">
        <v>55.3008596</v>
      </c>
      <c r="Z26" s="17">
        <f>VLOOKUP(F26,RANGOFECHAFINAL,25,FALSE)</f>
        <v>46016</v>
      </c>
      <c r="AA26" s="8" t="s">
        <v>175</v>
      </c>
      <c r="AB26" s="8" t="s">
        <v>176</v>
      </c>
      <c r="AC26" s="8" t="s">
        <v>42</v>
      </c>
      <c r="AD26" s="7"/>
    </row>
    <row r="27">
      <c r="A27" s="7">
        <v>24.0</v>
      </c>
      <c r="B27" s="7" t="s">
        <v>30</v>
      </c>
      <c r="C27" s="7" t="s">
        <v>177</v>
      </c>
      <c r="D27" s="7" t="s">
        <v>32</v>
      </c>
      <c r="E27" s="8" t="s">
        <v>33</v>
      </c>
      <c r="F27" s="8" t="s">
        <v>178</v>
      </c>
      <c r="G27" s="9" t="s">
        <v>179</v>
      </c>
      <c r="H27" s="8" t="s">
        <v>180</v>
      </c>
      <c r="I27" s="8">
        <v>5.3040784E7</v>
      </c>
      <c r="J27" s="10">
        <v>1.0248225E8</v>
      </c>
      <c r="K27" s="11">
        <v>1782300.0</v>
      </c>
      <c r="L27" s="10">
        <f t="shared" si="1"/>
        <v>104264550</v>
      </c>
      <c r="M27" s="12">
        <f>IFERROR(__xludf.DUMMYFUNCTION("+N27/L27"),0.48717948717948717)</f>
        <v>0.4871794872</v>
      </c>
      <c r="N27" s="13">
        <v>5.079555E7</v>
      </c>
      <c r="O27" s="13">
        <f t="shared" si="2"/>
        <v>53469000</v>
      </c>
      <c r="P27" s="8" t="s">
        <v>53</v>
      </c>
      <c r="Q27" s="8">
        <v>3125.0</v>
      </c>
      <c r="R27" s="8">
        <v>3025.0</v>
      </c>
      <c r="S27" s="14">
        <v>45666.0</v>
      </c>
      <c r="T27" s="15"/>
      <c r="U27" s="14">
        <v>45667.0</v>
      </c>
      <c r="V27" s="8">
        <f>VLOOKUP(F27,RANGOPRORROGAS,24,FALSE)</f>
        <v>6</v>
      </c>
      <c r="W27" s="8">
        <v>349.0</v>
      </c>
      <c r="X27" s="8">
        <f t="shared" si="3"/>
        <v>355</v>
      </c>
      <c r="Y27" s="8">
        <v>54.36619718</v>
      </c>
      <c r="Z27" s="17">
        <f>VLOOKUP(F27,RANGOFECHAFINAL,25,FALSE)</f>
        <v>46022</v>
      </c>
      <c r="AA27" s="8" t="s">
        <v>181</v>
      </c>
      <c r="AB27" s="8" t="s">
        <v>182</v>
      </c>
      <c r="AC27" s="8" t="s">
        <v>42</v>
      </c>
      <c r="AD27" s="7"/>
    </row>
    <row r="28">
      <c r="A28" s="7">
        <v>25.0</v>
      </c>
      <c r="B28" s="7" t="s">
        <v>30</v>
      </c>
      <c r="C28" s="7" t="s">
        <v>183</v>
      </c>
      <c r="D28" s="7" t="s">
        <v>32</v>
      </c>
      <c r="E28" s="8" t="s">
        <v>33</v>
      </c>
      <c r="F28" s="8" t="s">
        <v>184</v>
      </c>
      <c r="G28" s="9" t="s">
        <v>185</v>
      </c>
      <c r="H28" s="8" t="s">
        <v>186</v>
      </c>
      <c r="I28" s="8">
        <v>1.024471867E9</v>
      </c>
      <c r="J28" s="10">
        <v>1.0248225E8</v>
      </c>
      <c r="K28" s="11">
        <v>1782300.0</v>
      </c>
      <c r="L28" s="10">
        <f t="shared" si="1"/>
        <v>104264550</v>
      </c>
      <c r="M28" s="12">
        <f>IFERROR(__xludf.DUMMYFUNCTION("+N28/L28"),0.48717948717948717)</f>
        <v>0.4871794872</v>
      </c>
      <c r="N28" s="13">
        <v>5.079555E7</v>
      </c>
      <c r="O28" s="13">
        <f t="shared" si="2"/>
        <v>53469000</v>
      </c>
      <c r="P28" s="8" t="s">
        <v>53</v>
      </c>
      <c r="Q28" s="8">
        <v>3025.0</v>
      </c>
      <c r="R28" s="8">
        <v>2825.0</v>
      </c>
      <c r="S28" s="14">
        <v>45666.0</v>
      </c>
      <c r="T28" s="15"/>
      <c r="U28" s="14">
        <v>45667.0</v>
      </c>
      <c r="V28" s="8">
        <f>VLOOKUP(F28,RANGOPRORROGAS,24,FALSE)</f>
        <v>6</v>
      </c>
      <c r="W28" s="8">
        <v>349.0</v>
      </c>
      <c r="X28" s="8">
        <f t="shared" si="3"/>
        <v>355</v>
      </c>
      <c r="Y28" s="8">
        <v>54.36619718</v>
      </c>
      <c r="Z28" s="17">
        <f>VLOOKUP(F28,RANGOFECHAFINAL,25,FALSE)</f>
        <v>46022</v>
      </c>
      <c r="AA28" s="8" t="s">
        <v>181</v>
      </c>
      <c r="AB28" s="8" t="s">
        <v>182</v>
      </c>
      <c r="AC28" s="8" t="s">
        <v>42</v>
      </c>
      <c r="AD28" s="7"/>
    </row>
    <row r="29" hidden="1">
      <c r="A29" s="7"/>
      <c r="B29" s="8" t="s">
        <v>78</v>
      </c>
      <c r="C29" s="7" t="s">
        <v>187</v>
      </c>
      <c r="D29" s="7" t="s">
        <v>80</v>
      </c>
      <c r="E29" s="8" t="s">
        <v>81</v>
      </c>
      <c r="F29" s="8" t="s">
        <v>188</v>
      </c>
      <c r="G29" s="9" t="s">
        <v>189</v>
      </c>
      <c r="H29" s="8" t="s">
        <v>190</v>
      </c>
      <c r="I29" s="8">
        <v>9.01891536E8</v>
      </c>
      <c r="J29" s="10">
        <v>4527972.0</v>
      </c>
      <c r="K29" s="11"/>
      <c r="L29" s="10">
        <f t="shared" si="1"/>
        <v>4527972</v>
      </c>
      <c r="M29" s="12">
        <f>IFERROR(__xludf.DUMMYFUNCTION("+N29/L29"),1.0)</f>
        <v>1</v>
      </c>
      <c r="N29" s="13">
        <v>4527972.0</v>
      </c>
      <c r="O29" s="13">
        <f t="shared" si="2"/>
        <v>0</v>
      </c>
      <c r="P29" s="8" t="s">
        <v>191</v>
      </c>
      <c r="Q29" s="8">
        <v>31525.0</v>
      </c>
      <c r="R29" s="8">
        <v>38725.0</v>
      </c>
      <c r="S29" s="14">
        <v>45779.0</v>
      </c>
      <c r="T29" s="14">
        <v>45785.0</v>
      </c>
      <c r="U29" s="14">
        <v>45785.0</v>
      </c>
      <c r="V29" s="8"/>
      <c r="W29" s="8">
        <v>360.0</v>
      </c>
      <c r="X29" s="8">
        <f t="shared" si="3"/>
        <v>360</v>
      </c>
      <c r="Y29" s="8">
        <v>20.94972067</v>
      </c>
      <c r="Z29" s="17">
        <v>46143.0</v>
      </c>
      <c r="AA29" s="8" t="s">
        <v>192</v>
      </c>
      <c r="AB29" s="8" t="s">
        <v>193</v>
      </c>
      <c r="AC29" s="8" t="s">
        <v>42</v>
      </c>
      <c r="AD29" s="7"/>
    </row>
    <row r="30" hidden="1">
      <c r="A30" s="7"/>
      <c r="B30" s="8" t="s">
        <v>78</v>
      </c>
      <c r="C30" s="7" t="s">
        <v>194</v>
      </c>
      <c r="D30" s="7" t="s">
        <v>80</v>
      </c>
      <c r="E30" s="8" t="s">
        <v>81</v>
      </c>
      <c r="F30" s="8" t="s">
        <v>188</v>
      </c>
      <c r="G30" s="9" t="s">
        <v>195</v>
      </c>
      <c r="H30" s="8" t="s">
        <v>196</v>
      </c>
      <c r="I30" s="8">
        <v>8.30013988E8</v>
      </c>
      <c r="J30" s="10">
        <v>4.4985024E7</v>
      </c>
      <c r="K30" s="11"/>
      <c r="L30" s="10">
        <f t="shared" si="1"/>
        <v>44985024</v>
      </c>
      <c r="M30" s="12">
        <f>IFERROR(__xludf.DUMMYFUNCTION("+N30/L30"),0.9206349206349206)</f>
        <v>0.9206349206</v>
      </c>
      <c r="N30" s="13">
        <v>4.1414784E7</v>
      </c>
      <c r="O30" s="13">
        <f t="shared" si="2"/>
        <v>3570240</v>
      </c>
      <c r="P30" s="8" t="s">
        <v>197</v>
      </c>
      <c r="Q30" s="8">
        <v>31725.0</v>
      </c>
      <c r="R30" s="8">
        <v>37925.0</v>
      </c>
      <c r="S30" s="14">
        <v>45777.0</v>
      </c>
      <c r="T30" s="19">
        <v>45784.0</v>
      </c>
      <c r="U30" s="14">
        <v>45784.0</v>
      </c>
      <c r="V30" s="8"/>
      <c r="W30" s="8">
        <v>365.0</v>
      </c>
      <c r="X30" s="8">
        <f t="shared" si="3"/>
        <v>365</v>
      </c>
      <c r="Y30" s="8">
        <v>21.28851541</v>
      </c>
      <c r="Z30" s="17">
        <v>46141.0</v>
      </c>
      <c r="AA30" s="8" t="s">
        <v>198</v>
      </c>
      <c r="AB30" s="8" t="s">
        <v>193</v>
      </c>
      <c r="AC30" s="8" t="s">
        <v>42</v>
      </c>
      <c r="AD30" s="7"/>
    </row>
    <row r="31">
      <c r="A31" s="7">
        <v>26.0</v>
      </c>
      <c r="B31" s="7" t="s">
        <v>30</v>
      </c>
      <c r="C31" s="7" t="s">
        <v>199</v>
      </c>
      <c r="D31" s="7" t="s">
        <v>32</v>
      </c>
      <c r="E31" s="8" t="s">
        <v>33</v>
      </c>
      <c r="F31" s="8" t="s">
        <v>200</v>
      </c>
      <c r="G31" s="9" t="s">
        <v>201</v>
      </c>
      <c r="H31" s="8" t="s">
        <v>202</v>
      </c>
      <c r="I31" s="8">
        <v>1.013617963E9</v>
      </c>
      <c r="J31" s="10">
        <v>1.15E8</v>
      </c>
      <c r="K31" s="11"/>
      <c r="L31" s="10">
        <f t="shared" si="1"/>
        <v>115000000</v>
      </c>
      <c r="M31" s="12">
        <f>IFERROR(__xludf.DUMMYFUNCTION("+N31/L31"),0.4956521739130435)</f>
        <v>0.4956521739</v>
      </c>
      <c r="N31" s="13">
        <v>5.7E7</v>
      </c>
      <c r="O31" s="13">
        <f t="shared" si="2"/>
        <v>58000000</v>
      </c>
      <c r="P31" s="8" t="s">
        <v>203</v>
      </c>
      <c r="Q31" s="8">
        <v>1025.0</v>
      </c>
      <c r="R31" s="8">
        <v>2925.0</v>
      </c>
      <c r="S31" s="14">
        <v>45666.0</v>
      </c>
      <c r="T31" s="15"/>
      <c r="U31" s="14">
        <v>45667.0</v>
      </c>
      <c r="V31" s="8" t="str">
        <f>VLOOKUP(F31,RANGOPRORROGAS,24,FALSE)</f>
        <v/>
      </c>
      <c r="W31" s="8">
        <v>349.0</v>
      </c>
      <c r="X31" s="8">
        <f t="shared" si="3"/>
        <v>349</v>
      </c>
      <c r="Y31" s="8">
        <v>55.3008596</v>
      </c>
      <c r="Z31" s="17">
        <f>VLOOKUP(F31,RANGOFECHAFINAL,25,FALSE)</f>
        <v>46016</v>
      </c>
      <c r="AA31" s="8" t="s">
        <v>204</v>
      </c>
      <c r="AB31" s="8" t="s">
        <v>205</v>
      </c>
      <c r="AC31" s="8" t="s">
        <v>42</v>
      </c>
      <c r="AD31" s="7"/>
    </row>
    <row r="32">
      <c r="A32" s="7">
        <v>27.0</v>
      </c>
      <c r="B32" s="7" t="s">
        <v>30</v>
      </c>
      <c r="C32" s="7" t="s">
        <v>206</v>
      </c>
      <c r="D32" s="7" t="s">
        <v>32</v>
      </c>
      <c r="E32" s="8" t="s">
        <v>33</v>
      </c>
      <c r="F32" s="8" t="s">
        <v>207</v>
      </c>
      <c r="G32" s="9" t="s">
        <v>208</v>
      </c>
      <c r="H32" s="8" t="s">
        <v>209</v>
      </c>
      <c r="I32" s="8">
        <v>1.030634246E9</v>
      </c>
      <c r="J32" s="10">
        <v>1.265E8</v>
      </c>
      <c r="K32" s="11"/>
      <c r="L32" s="10">
        <f t="shared" si="1"/>
        <v>126500000</v>
      </c>
      <c r="M32" s="12">
        <f>IFERROR(__xludf.DUMMYFUNCTION("+N32/L32"),0.48695652173913045)</f>
        <v>0.4869565217</v>
      </c>
      <c r="N32" s="13">
        <v>6.16E7</v>
      </c>
      <c r="O32" s="13">
        <f t="shared" si="2"/>
        <v>64900000</v>
      </c>
      <c r="P32" s="8" t="s">
        <v>210</v>
      </c>
      <c r="Q32" s="8">
        <v>925.0</v>
      </c>
      <c r="R32" s="8">
        <v>3825.0</v>
      </c>
      <c r="S32" s="14">
        <v>45667.0</v>
      </c>
      <c r="T32" s="15"/>
      <c r="U32" s="14">
        <v>45670.0</v>
      </c>
      <c r="V32" s="8" t="str">
        <f>VLOOKUP(F32,RANGOPRORROGAS,24,FALSE)</f>
        <v/>
      </c>
      <c r="W32" s="8">
        <v>348.0</v>
      </c>
      <c r="X32" s="8">
        <f t="shared" si="3"/>
        <v>348</v>
      </c>
      <c r="Y32" s="8">
        <v>54.59770115</v>
      </c>
      <c r="Z32" s="17">
        <f>VLOOKUP(F32,RANGOFECHAFINAL,25,FALSE)</f>
        <v>46018</v>
      </c>
      <c r="AA32" s="8" t="s">
        <v>211</v>
      </c>
      <c r="AB32" s="8" t="s">
        <v>205</v>
      </c>
      <c r="AC32" s="8" t="s">
        <v>42</v>
      </c>
      <c r="AD32" s="7"/>
    </row>
    <row r="33">
      <c r="A33" s="7">
        <v>28.0</v>
      </c>
      <c r="B33" s="7" t="s">
        <v>30</v>
      </c>
      <c r="C33" s="7" t="s">
        <v>212</v>
      </c>
      <c r="D33" s="7" t="s">
        <v>32</v>
      </c>
      <c r="E33" s="8" t="s">
        <v>33</v>
      </c>
      <c r="F33" s="8" t="s">
        <v>213</v>
      </c>
      <c r="G33" s="9" t="s">
        <v>214</v>
      </c>
      <c r="H33" s="8" t="s">
        <v>215</v>
      </c>
      <c r="I33" s="8" t="s">
        <v>216</v>
      </c>
      <c r="J33" s="10">
        <v>3.613995E7</v>
      </c>
      <c r="K33" s="11"/>
      <c r="L33" s="10">
        <f t="shared" si="1"/>
        <v>36139950</v>
      </c>
      <c r="M33" s="12">
        <f>IFERROR(__xludf.DUMMYFUNCTION("+N33/L33"),0.5181818181818182)</f>
        <v>0.5181818182</v>
      </c>
      <c r="N33" s="13">
        <v>1.8727065E7</v>
      </c>
      <c r="O33" s="13">
        <f t="shared" si="2"/>
        <v>17412885</v>
      </c>
      <c r="P33" s="8" t="s">
        <v>91</v>
      </c>
      <c r="Q33" s="8">
        <v>4225.0</v>
      </c>
      <c r="R33" s="8">
        <v>3325.0</v>
      </c>
      <c r="S33" s="14">
        <v>45666.0</v>
      </c>
      <c r="T33" s="15"/>
      <c r="U33" s="14">
        <v>45667.0</v>
      </c>
      <c r="V33" s="8"/>
      <c r="W33" s="8">
        <v>333.0</v>
      </c>
      <c r="X33" s="8">
        <f t="shared" si="3"/>
        <v>333</v>
      </c>
      <c r="Y33" s="8">
        <v>57.95795796</v>
      </c>
      <c r="Z33" s="17">
        <v>46000.0</v>
      </c>
      <c r="AA33" s="8" t="s">
        <v>217</v>
      </c>
      <c r="AB33" s="8" t="s">
        <v>165</v>
      </c>
      <c r="AC33" s="8" t="s">
        <v>42</v>
      </c>
      <c r="AD33" s="7"/>
    </row>
    <row r="34">
      <c r="A34" s="7">
        <v>29.0</v>
      </c>
      <c r="B34" s="7" t="s">
        <v>30</v>
      </c>
      <c r="C34" s="7" t="s">
        <v>218</v>
      </c>
      <c r="D34" s="7" t="s">
        <v>32</v>
      </c>
      <c r="E34" s="8" t="s">
        <v>33</v>
      </c>
      <c r="F34" s="8" t="s">
        <v>219</v>
      </c>
      <c r="G34" s="9" t="s">
        <v>220</v>
      </c>
      <c r="H34" s="8" t="s">
        <v>221</v>
      </c>
      <c r="I34" s="8">
        <v>1.130601351E9</v>
      </c>
      <c r="J34" s="10">
        <v>8.0E7</v>
      </c>
      <c r="K34" s="11">
        <v>1.2533333E7</v>
      </c>
      <c r="L34" s="10">
        <f t="shared" si="1"/>
        <v>92533333</v>
      </c>
      <c r="M34" s="12">
        <f>IFERROR(__xludf.DUMMYFUNCTION("+N34/L34"),0.48126800965874644)</f>
        <v>0.4812680097</v>
      </c>
      <c r="N34" s="13">
        <v>4.4533333E7</v>
      </c>
      <c r="O34" s="13">
        <f t="shared" si="2"/>
        <v>48000000</v>
      </c>
      <c r="P34" s="8" t="s">
        <v>67</v>
      </c>
      <c r="Q34" s="8">
        <v>1825.0</v>
      </c>
      <c r="R34" s="8">
        <v>4125.0</v>
      </c>
      <c r="S34" s="14">
        <v>45667.0</v>
      </c>
      <c r="T34" s="15"/>
      <c r="U34" s="14">
        <v>45671.0</v>
      </c>
      <c r="V34" s="8" t="str">
        <f>VLOOKUP(F34,RANGOPRORROGAS,24,FALSE)</f>
        <v/>
      </c>
      <c r="W34" s="8">
        <v>303.0</v>
      </c>
      <c r="X34" s="8">
        <f t="shared" si="3"/>
        <v>303</v>
      </c>
      <c r="Y34" s="8">
        <v>62.37623762</v>
      </c>
      <c r="Z34" s="17">
        <f>VLOOKUP(F34,RANGOFECHAFINAL,25,FALSE)</f>
        <v>45974</v>
      </c>
      <c r="AA34" s="8" t="s">
        <v>222</v>
      </c>
      <c r="AB34" s="8" t="s">
        <v>223</v>
      </c>
      <c r="AC34" s="8" t="s">
        <v>42</v>
      </c>
      <c r="AD34" s="7"/>
    </row>
    <row r="35">
      <c r="A35" s="7">
        <v>30.0</v>
      </c>
      <c r="B35" s="7" t="s">
        <v>30</v>
      </c>
      <c r="C35" s="7" t="s">
        <v>224</v>
      </c>
      <c r="D35" s="7" t="s">
        <v>32</v>
      </c>
      <c r="E35" s="8" t="s">
        <v>33</v>
      </c>
      <c r="F35" s="8" t="s">
        <v>225</v>
      </c>
      <c r="G35" s="9" t="s">
        <v>226</v>
      </c>
      <c r="H35" s="8" t="s">
        <v>227</v>
      </c>
      <c r="I35" s="8">
        <v>1.073512831E9</v>
      </c>
      <c r="J35" s="10">
        <v>9.85435E7</v>
      </c>
      <c r="K35" s="11"/>
      <c r="L35" s="10">
        <f t="shared" si="1"/>
        <v>98543500</v>
      </c>
      <c r="M35" s="12">
        <f>IFERROR(__xludf.DUMMYFUNCTION("+N35/L35"),0.48695652173913045)</f>
        <v>0.4869565217</v>
      </c>
      <c r="N35" s="13">
        <v>4.79864E7</v>
      </c>
      <c r="O35" s="13">
        <f t="shared" si="2"/>
        <v>50557100</v>
      </c>
      <c r="P35" s="8" t="s">
        <v>228</v>
      </c>
      <c r="Q35" s="8">
        <v>2325.0</v>
      </c>
      <c r="R35" s="8">
        <v>3725.0</v>
      </c>
      <c r="S35" s="14">
        <v>45667.0</v>
      </c>
      <c r="T35" s="15"/>
      <c r="U35" s="14">
        <v>45670.0</v>
      </c>
      <c r="V35" s="8" t="str">
        <f>VLOOKUP(F35,RANGOPRORROGAS,24,FALSE)</f>
        <v/>
      </c>
      <c r="W35" s="8">
        <v>348.0</v>
      </c>
      <c r="X35" s="8">
        <f t="shared" si="3"/>
        <v>348</v>
      </c>
      <c r="Y35" s="8">
        <v>54.59770115</v>
      </c>
      <c r="Z35" s="17">
        <f>VLOOKUP(F35,RANGOFECHAFINAL,25,FALSE)</f>
        <v>46018</v>
      </c>
      <c r="AA35" s="8" t="s">
        <v>229</v>
      </c>
      <c r="AB35" s="8" t="s">
        <v>230</v>
      </c>
      <c r="AC35" s="8" t="s">
        <v>42</v>
      </c>
      <c r="AD35" s="7"/>
    </row>
    <row r="36">
      <c r="A36" s="7">
        <v>31.0</v>
      </c>
      <c r="B36" s="7" t="s">
        <v>30</v>
      </c>
      <c r="C36" s="7" t="s">
        <v>231</v>
      </c>
      <c r="D36" s="7" t="s">
        <v>32</v>
      </c>
      <c r="E36" s="8" t="s">
        <v>33</v>
      </c>
      <c r="F36" s="8" t="s">
        <v>232</v>
      </c>
      <c r="G36" s="9" t="s">
        <v>233</v>
      </c>
      <c r="H36" s="8" t="s">
        <v>234</v>
      </c>
      <c r="I36" s="8">
        <v>5.246763E7</v>
      </c>
      <c r="J36" s="10">
        <v>7.3668E7</v>
      </c>
      <c r="K36" s="11">
        <v>-5.868884E7</v>
      </c>
      <c r="L36" s="10">
        <f t="shared" si="1"/>
        <v>14979160</v>
      </c>
      <c r="M36" s="12">
        <f>IFERROR(__xludf.DUMMYFUNCTION("+N36/L36"),1.0)</f>
        <v>1</v>
      </c>
      <c r="N36" s="13">
        <v>1.497916E7</v>
      </c>
      <c r="O36" s="13">
        <f t="shared" si="2"/>
        <v>0</v>
      </c>
      <c r="P36" s="8" t="s">
        <v>91</v>
      </c>
      <c r="Q36" s="8">
        <v>4925.0</v>
      </c>
      <c r="R36" s="8">
        <v>3625.0</v>
      </c>
      <c r="S36" s="14">
        <v>45666.0</v>
      </c>
      <c r="T36" s="15"/>
      <c r="U36" s="14">
        <v>45670.0</v>
      </c>
      <c r="V36" s="8"/>
      <c r="W36" s="8">
        <v>303.0</v>
      </c>
      <c r="X36" s="8">
        <f t="shared" si="3"/>
        <v>303</v>
      </c>
      <c r="Y36" s="8">
        <v>100.0</v>
      </c>
      <c r="Z36" s="18">
        <v>45730.0</v>
      </c>
      <c r="AA36" s="8" t="s">
        <v>235</v>
      </c>
      <c r="AB36" s="8" t="s">
        <v>236</v>
      </c>
      <c r="AC36" s="8" t="s">
        <v>72</v>
      </c>
      <c r="AD36" s="7"/>
    </row>
    <row r="37">
      <c r="A37" s="7">
        <v>32.0</v>
      </c>
      <c r="B37" s="7" t="s">
        <v>30</v>
      </c>
      <c r="C37" s="7" t="s">
        <v>237</v>
      </c>
      <c r="D37" s="7" t="s">
        <v>32</v>
      </c>
      <c r="E37" s="8" t="s">
        <v>33</v>
      </c>
      <c r="F37" s="8" t="s">
        <v>238</v>
      </c>
      <c r="G37" s="9" t="s">
        <v>239</v>
      </c>
      <c r="H37" s="8" t="s">
        <v>240</v>
      </c>
      <c r="I37" s="8">
        <v>9.1251483E7</v>
      </c>
      <c r="J37" s="10">
        <v>4.42008E7</v>
      </c>
      <c r="K37" s="20">
        <v>4.199076E7</v>
      </c>
      <c r="L37" s="10">
        <f t="shared" si="1"/>
        <v>86191560</v>
      </c>
      <c r="M37" s="12">
        <f>IFERROR(__xludf.DUMMYFUNCTION("+N37/L37"),0.48717948717948717)</f>
        <v>0.4871794872</v>
      </c>
      <c r="N37" s="13">
        <v>4.199076E7</v>
      </c>
      <c r="O37" s="13">
        <f t="shared" si="2"/>
        <v>44200800</v>
      </c>
      <c r="P37" s="8" t="s">
        <v>91</v>
      </c>
      <c r="Q37" s="8">
        <v>5225.0</v>
      </c>
      <c r="R37" s="8">
        <v>3125.0</v>
      </c>
      <c r="S37" s="14">
        <v>45666.0</v>
      </c>
      <c r="T37" s="15"/>
      <c r="U37" s="14">
        <v>45667.0</v>
      </c>
      <c r="V37" s="21">
        <v>171.0</v>
      </c>
      <c r="W37" s="8">
        <v>180.0</v>
      </c>
      <c r="X37" s="8">
        <f t="shared" si="3"/>
        <v>351</v>
      </c>
      <c r="Y37" s="8">
        <v>100.0</v>
      </c>
      <c r="Z37" s="17">
        <f>VLOOKUP(F37,RANGOFECHAFINAL,25,FALSE)</f>
        <v>45847</v>
      </c>
      <c r="AA37" s="8" t="s">
        <v>241</v>
      </c>
      <c r="AB37" s="8" t="s">
        <v>242</v>
      </c>
      <c r="AC37" s="8" t="s">
        <v>42</v>
      </c>
      <c r="AD37" s="7"/>
    </row>
    <row r="38">
      <c r="A38" s="7">
        <v>33.0</v>
      </c>
      <c r="B38" s="7" t="s">
        <v>30</v>
      </c>
      <c r="C38" s="7" t="s">
        <v>243</v>
      </c>
      <c r="D38" s="7" t="s">
        <v>32</v>
      </c>
      <c r="E38" s="8" t="s">
        <v>33</v>
      </c>
      <c r="F38" s="8" t="s">
        <v>244</v>
      </c>
      <c r="G38" s="9" t="s">
        <v>245</v>
      </c>
      <c r="H38" s="8" t="s">
        <v>246</v>
      </c>
      <c r="I38" s="8">
        <v>2.8061081E7</v>
      </c>
      <c r="J38" s="10">
        <v>1.4012988E8</v>
      </c>
      <c r="K38" s="11">
        <v>7218812.0</v>
      </c>
      <c r="L38" s="10">
        <f t="shared" si="1"/>
        <v>147348692</v>
      </c>
      <c r="M38" s="12">
        <f>IFERROR(__xludf.DUMMYFUNCTION("+N38/L38"),0.4812680115273775)</f>
        <v>0.4812680115</v>
      </c>
      <c r="N38" s="13">
        <v>7.0914212E7</v>
      </c>
      <c r="O38" s="13">
        <f t="shared" si="2"/>
        <v>76434480</v>
      </c>
      <c r="P38" s="8" t="s">
        <v>67</v>
      </c>
      <c r="Q38" s="8">
        <v>7025.0</v>
      </c>
      <c r="R38" s="8">
        <v>4525.0</v>
      </c>
      <c r="S38" s="14">
        <v>45670.0</v>
      </c>
      <c r="T38" s="15"/>
      <c r="U38" s="14">
        <v>45671.0</v>
      </c>
      <c r="V38" s="8">
        <v>17.0</v>
      </c>
      <c r="W38" s="8">
        <v>333.0</v>
      </c>
      <c r="X38" s="8">
        <f t="shared" si="3"/>
        <v>350</v>
      </c>
      <c r="Y38" s="8">
        <v>53.84615385</v>
      </c>
      <c r="Z38" s="17">
        <v>46022.0</v>
      </c>
      <c r="AA38" s="8" t="s">
        <v>222</v>
      </c>
      <c r="AB38" s="8" t="s">
        <v>223</v>
      </c>
      <c r="AC38" s="8" t="s">
        <v>42</v>
      </c>
      <c r="AD38" s="7"/>
    </row>
    <row r="39">
      <c r="A39" s="7">
        <v>34.0</v>
      </c>
      <c r="B39" s="7" t="s">
        <v>30</v>
      </c>
      <c r="C39" s="7" t="s">
        <v>247</v>
      </c>
      <c r="D39" s="7" t="s">
        <v>32</v>
      </c>
      <c r="E39" s="8" t="s">
        <v>248</v>
      </c>
      <c r="F39" s="8" t="s">
        <v>249</v>
      </c>
      <c r="G39" s="9" t="s">
        <v>250</v>
      </c>
      <c r="H39" s="8" t="s">
        <v>251</v>
      </c>
      <c r="I39" s="8">
        <v>1.006772235E9</v>
      </c>
      <c r="J39" s="10">
        <v>2.83452E7</v>
      </c>
      <c r="K39" s="11">
        <v>164320.0</v>
      </c>
      <c r="L39" s="10">
        <f t="shared" si="1"/>
        <v>28509520</v>
      </c>
      <c r="M39" s="12">
        <f>IFERROR(__xludf.DUMMYFUNCTION("+N39/L39"),0.4812680115273775)</f>
        <v>0.4812680115</v>
      </c>
      <c r="N39" s="13">
        <v>1.372072E7</v>
      </c>
      <c r="O39" s="13">
        <f t="shared" si="2"/>
        <v>14788800</v>
      </c>
      <c r="P39" s="8" t="s">
        <v>53</v>
      </c>
      <c r="Q39" s="8">
        <v>3225.0</v>
      </c>
      <c r="R39" s="8">
        <v>4625.0</v>
      </c>
      <c r="S39" s="14">
        <v>45667.0</v>
      </c>
      <c r="T39" s="15"/>
      <c r="U39" s="14">
        <v>45671.0</v>
      </c>
      <c r="V39" s="8">
        <f>VLOOKUP(F39,RANGOPRORROGAS,24,FALSE)</f>
        <v>2</v>
      </c>
      <c r="W39" s="8">
        <v>348.0</v>
      </c>
      <c r="X39" s="8">
        <f t="shared" si="3"/>
        <v>350</v>
      </c>
      <c r="Y39" s="8">
        <v>53.84615385</v>
      </c>
      <c r="Z39" s="17">
        <f>VLOOKUP(F39,RANGOFECHAFINAL,25,FALSE)</f>
        <v>46022</v>
      </c>
      <c r="AA39" s="8" t="s">
        <v>252</v>
      </c>
      <c r="AB39" s="8" t="s">
        <v>182</v>
      </c>
      <c r="AC39" s="8" t="s">
        <v>42</v>
      </c>
      <c r="AD39" s="7"/>
    </row>
    <row r="40">
      <c r="A40" s="7">
        <v>35.0</v>
      </c>
      <c r="B40" s="7" t="s">
        <v>30</v>
      </c>
      <c r="C40" s="7" t="s">
        <v>253</v>
      </c>
      <c r="D40" s="7" t="s">
        <v>32</v>
      </c>
      <c r="E40" s="8" t="s">
        <v>33</v>
      </c>
      <c r="F40" s="8" t="s">
        <v>254</v>
      </c>
      <c r="G40" s="9" t="s">
        <v>255</v>
      </c>
      <c r="H40" s="8" t="s">
        <v>256</v>
      </c>
      <c r="I40" s="8">
        <v>1.018492802E9</v>
      </c>
      <c r="J40" s="10">
        <v>1.1023325E8</v>
      </c>
      <c r="K40" s="11">
        <v>2639033.0</v>
      </c>
      <c r="L40" s="10">
        <f t="shared" si="1"/>
        <v>112872283</v>
      </c>
      <c r="M40" s="12">
        <f>IFERROR(__xludf.DUMMYFUNCTION("+N40/L40"),0.47274035380324503)</f>
        <v>0.4727403538</v>
      </c>
      <c r="N40" s="13">
        <v>5.3359283E7</v>
      </c>
      <c r="O40" s="13">
        <f t="shared" si="2"/>
        <v>59513000</v>
      </c>
      <c r="P40" s="8" t="s">
        <v>53</v>
      </c>
      <c r="Q40" s="8">
        <v>2925.0</v>
      </c>
      <c r="R40" s="8">
        <v>4325.0</v>
      </c>
      <c r="S40" s="14">
        <v>45670.0</v>
      </c>
      <c r="T40" s="15"/>
      <c r="U40" s="14">
        <v>45671.0</v>
      </c>
      <c r="V40" s="8">
        <f>VLOOKUP(F40,RANGOPRORROGAS,24,FALSE)</f>
        <v>2</v>
      </c>
      <c r="W40" s="8">
        <v>348.0</v>
      </c>
      <c r="X40" s="8">
        <f t="shared" si="3"/>
        <v>350</v>
      </c>
      <c r="Y40" s="8">
        <v>53.84615385</v>
      </c>
      <c r="Z40" s="17">
        <f>VLOOKUP(F40,RANGOFECHAFINAL,25,FALSE)</f>
        <v>46022</v>
      </c>
      <c r="AA40" s="8" t="s">
        <v>257</v>
      </c>
      <c r="AB40" s="8" t="s">
        <v>258</v>
      </c>
      <c r="AC40" s="8" t="s">
        <v>42</v>
      </c>
      <c r="AD40" s="7"/>
    </row>
    <row r="41">
      <c r="A41" s="7">
        <v>36.0</v>
      </c>
      <c r="B41" s="7" t="s">
        <v>30</v>
      </c>
      <c r="C41" s="7" t="s">
        <v>259</v>
      </c>
      <c r="D41" s="7" t="s">
        <v>32</v>
      </c>
      <c r="E41" s="8" t="s">
        <v>248</v>
      </c>
      <c r="F41" s="8" t="s">
        <v>260</v>
      </c>
      <c r="G41" s="9" t="s">
        <v>261</v>
      </c>
      <c r="H41" s="8" t="s">
        <v>262</v>
      </c>
      <c r="I41" s="8">
        <v>1.070924443E9</v>
      </c>
      <c r="J41" s="10">
        <v>2.8588E7</v>
      </c>
      <c r="K41" s="11"/>
      <c r="L41" s="10">
        <f t="shared" si="1"/>
        <v>28588000</v>
      </c>
      <c r="M41" s="12">
        <f>IFERROR(__xludf.DUMMYFUNCTION("+N41/L41"),0.8)</f>
        <v>0.8</v>
      </c>
      <c r="N41" s="13">
        <v>2.28704E7</v>
      </c>
      <c r="O41" s="13">
        <f t="shared" si="2"/>
        <v>5717600</v>
      </c>
      <c r="P41" s="8" t="s">
        <v>62</v>
      </c>
      <c r="Q41" s="8">
        <v>1325.0</v>
      </c>
      <c r="R41" s="8">
        <v>3925.0</v>
      </c>
      <c r="S41" s="14">
        <v>45667.0</v>
      </c>
      <c r="T41" s="15"/>
      <c r="U41" s="14">
        <v>45670.0</v>
      </c>
      <c r="V41" s="8" t="str">
        <f>VLOOKUP(F41,RANGOPRORROGAS,24,FALSE)</f>
        <v/>
      </c>
      <c r="W41" s="8">
        <v>211.0</v>
      </c>
      <c r="X41" s="8">
        <f t="shared" si="3"/>
        <v>211</v>
      </c>
      <c r="Y41" s="8">
        <v>90.04739336</v>
      </c>
      <c r="Z41" s="17">
        <f>VLOOKUP(F41,RANGOFECHAFINAL,25,FALSE)</f>
        <v>45881</v>
      </c>
      <c r="AA41" s="8" t="s">
        <v>192</v>
      </c>
      <c r="AB41" s="8" t="s">
        <v>263</v>
      </c>
      <c r="AC41" s="8" t="s">
        <v>42</v>
      </c>
      <c r="AD41" s="7"/>
    </row>
    <row r="42">
      <c r="A42" s="7">
        <v>37.0</v>
      </c>
      <c r="B42" s="7" t="s">
        <v>30</v>
      </c>
      <c r="C42" s="7" t="s">
        <v>264</v>
      </c>
      <c r="D42" s="7" t="s">
        <v>32</v>
      </c>
      <c r="E42" s="8" t="s">
        <v>33</v>
      </c>
      <c r="F42" s="8" t="s">
        <v>265</v>
      </c>
      <c r="G42" s="9" t="s">
        <v>266</v>
      </c>
      <c r="H42" s="8" t="s">
        <v>267</v>
      </c>
      <c r="I42" s="8">
        <v>9.00196555E8</v>
      </c>
      <c r="J42" s="22">
        <v>7.2620659E7</v>
      </c>
      <c r="K42" s="11"/>
      <c r="L42" s="10">
        <f t="shared" si="1"/>
        <v>72620659</v>
      </c>
      <c r="M42" s="12">
        <f>IFERROR(__xludf.DUMMYFUNCTION("+N42/L42"),0.3964342846296672)</f>
        <v>0.3964342846</v>
      </c>
      <c r="N42" s="13">
        <v>2.8789319E7</v>
      </c>
      <c r="O42" s="13">
        <f t="shared" si="2"/>
        <v>43831340</v>
      </c>
      <c r="P42" s="8" t="s">
        <v>197</v>
      </c>
      <c r="Q42" s="8">
        <v>3325.0</v>
      </c>
      <c r="R42" s="8">
        <v>6025.0</v>
      </c>
      <c r="S42" s="14">
        <v>45672.0</v>
      </c>
      <c r="T42" s="19">
        <v>45674.0</v>
      </c>
      <c r="U42" s="14">
        <v>45677.0</v>
      </c>
      <c r="V42" s="8"/>
      <c r="W42" s="8">
        <v>345.0</v>
      </c>
      <c r="X42" s="8">
        <f t="shared" si="3"/>
        <v>345</v>
      </c>
      <c r="Y42" s="8">
        <v>53.04347826</v>
      </c>
      <c r="Z42" s="17">
        <f>VLOOKUP(F42,RANGOFECHAFINAL,25,FALSE)</f>
        <v>46022</v>
      </c>
      <c r="AA42" s="8" t="s">
        <v>268</v>
      </c>
      <c r="AB42" s="8" t="s">
        <v>269</v>
      </c>
      <c r="AC42" s="8" t="s">
        <v>42</v>
      </c>
      <c r="AD42" s="7"/>
    </row>
    <row r="43">
      <c r="A43" s="7">
        <v>38.0</v>
      </c>
      <c r="B43" s="7" t="s">
        <v>30</v>
      </c>
      <c r="C43" s="7" t="s">
        <v>270</v>
      </c>
      <c r="D43" s="7" t="s">
        <v>32</v>
      </c>
      <c r="E43" s="8" t="s">
        <v>33</v>
      </c>
      <c r="F43" s="8" t="s">
        <v>271</v>
      </c>
      <c r="G43" s="9" t="s">
        <v>272</v>
      </c>
      <c r="H43" s="8" t="s">
        <v>273</v>
      </c>
      <c r="I43" s="8">
        <v>1.110550504E9</v>
      </c>
      <c r="J43" s="10">
        <v>6.2434213E7</v>
      </c>
      <c r="K43" s="11"/>
      <c r="L43" s="10">
        <f t="shared" si="1"/>
        <v>62434213</v>
      </c>
      <c r="M43" s="12">
        <f>IFERROR(__xludf.DUMMYFUNCTION("+N43/L43"),0.48115940854415834)</f>
        <v>0.4811594085</v>
      </c>
      <c r="N43" s="13">
        <v>3.0040809E7</v>
      </c>
      <c r="O43" s="13">
        <f t="shared" si="2"/>
        <v>32393404</v>
      </c>
      <c r="P43" s="8" t="s">
        <v>47</v>
      </c>
      <c r="Q43" s="8">
        <v>4625.0</v>
      </c>
      <c r="R43" s="8">
        <v>5025.0</v>
      </c>
      <c r="S43" s="14">
        <v>45670.0</v>
      </c>
      <c r="T43" s="15"/>
      <c r="U43" s="14">
        <v>45672.0</v>
      </c>
      <c r="V43" s="8"/>
      <c r="W43" s="8">
        <v>348.0</v>
      </c>
      <c r="X43" s="8">
        <f t="shared" si="3"/>
        <v>348</v>
      </c>
      <c r="Y43" s="8">
        <v>54.02298851</v>
      </c>
      <c r="Z43" s="17">
        <f>VLOOKUP(F43,RANGOFECHAFINAL,25,FALSE)</f>
        <v>46020</v>
      </c>
      <c r="AA43" s="8" t="s">
        <v>274</v>
      </c>
      <c r="AB43" s="8" t="s">
        <v>275</v>
      </c>
      <c r="AC43" s="8" t="s">
        <v>42</v>
      </c>
      <c r="AD43" s="7"/>
    </row>
    <row r="44">
      <c r="A44" s="7">
        <v>39.0</v>
      </c>
      <c r="B44" s="7" t="s">
        <v>30</v>
      </c>
      <c r="C44" s="7" t="s">
        <v>276</v>
      </c>
      <c r="D44" s="7" t="s">
        <v>32</v>
      </c>
      <c r="E44" s="8" t="s">
        <v>33</v>
      </c>
      <c r="F44" s="8" t="s">
        <v>277</v>
      </c>
      <c r="G44" s="9" t="s">
        <v>278</v>
      </c>
      <c r="H44" s="8" t="s">
        <v>279</v>
      </c>
      <c r="I44" s="8">
        <v>367422.0</v>
      </c>
      <c r="J44" s="10">
        <v>8.1279263E7</v>
      </c>
      <c r="K44" s="11"/>
      <c r="L44" s="10">
        <f t="shared" si="1"/>
        <v>81279263</v>
      </c>
      <c r="M44" s="12">
        <f>IFERROR(__xludf.DUMMYFUNCTION("+N44/L44"),0.48115941946963764)</f>
        <v>0.4811594195</v>
      </c>
      <c r="N44" s="13">
        <v>3.9108283E7</v>
      </c>
      <c r="O44" s="13">
        <f t="shared" si="2"/>
        <v>42170980</v>
      </c>
      <c r="P44" s="8" t="s">
        <v>111</v>
      </c>
      <c r="Q44" s="8">
        <v>5125.0</v>
      </c>
      <c r="R44" s="8">
        <v>4925.0</v>
      </c>
      <c r="S44" s="14">
        <v>45670.0</v>
      </c>
      <c r="T44" s="15"/>
      <c r="U44" s="14">
        <v>45672.0</v>
      </c>
      <c r="V44" s="8"/>
      <c r="W44" s="8">
        <v>348.0</v>
      </c>
      <c r="X44" s="8">
        <f t="shared" si="3"/>
        <v>348</v>
      </c>
      <c r="Y44" s="8">
        <v>54.02298851</v>
      </c>
      <c r="Z44" s="17">
        <f>VLOOKUP(F44,RANGOFECHAFINAL,25,FALSE)</f>
        <v>46020</v>
      </c>
      <c r="AA44" s="8" t="s">
        <v>112</v>
      </c>
      <c r="AB44" s="8" t="s">
        <v>113</v>
      </c>
      <c r="AC44" s="8" t="s">
        <v>42</v>
      </c>
      <c r="AD44" s="7"/>
    </row>
    <row r="45">
      <c r="A45" s="7">
        <v>40.0</v>
      </c>
      <c r="B45" s="7" t="s">
        <v>30</v>
      </c>
      <c r="C45" s="7" t="s">
        <v>280</v>
      </c>
      <c r="D45" s="7" t="s">
        <v>32</v>
      </c>
      <c r="E45" s="8" t="s">
        <v>33</v>
      </c>
      <c r="F45" s="8" t="s">
        <v>281</v>
      </c>
      <c r="G45" s="9" t="s">
        <v>282</v>
      </c>
      <c r="H45" s="8" t="s">
        <v>283</v>
      </c>
      <c r="I45" s="8">
        <v>202634.0</v>
      </c>
      <c r="J45" s="10">
        <v>7.0E7</v>
      </c>
      <c r="K45" s="11"/>
      <c r="L45" s="10">
        <f t="shared" si="1"/>
        <v>70000000</v>
      </c>
      <c r="M45" s="12">
        <f>IFERROR(__xludf.DUMMYFUNCTION("+N45/L45"),0.5533333285714286)</f>
        <v>0.5533333286</v>
      </c>
      <c r="N45" s="13">
        <v>3.8733333E7</v>
      </c>
      <c r="O45" s="13">
        <f t="shared" si="2"/>
        <v>31266667</v>
      </c>
      <c r="P45" s="8" t="s">
        <v>47</v>
      </c>
      <c r="Q45" s="8">
        <v>6625.0</v>
      </c>
      <c r="R45" s="8">
        <v>5125.0</v>
      </c>
      <c r="S45" s="14">
        <v>45670.0</v>
      </c>
      <c r="T45" s="15" t="s">
        <v>39</v>
      </c>
      <c r="U45" s="14">
        <v>45672.0</v>
      </c>
      <c r="V45" s="8"/>
      <c r="W45" s="8">
        <v>303.0</v>
      </c>
      <c r="X45" s="8">
        <f t="shared" si="3"/>
        <v>303</v>
      </c>
      <c r="Y45" s="8">
        <v>62.04620462</v>
      </c>
      <c r="Z45" s="17">
        <f>VLOOKUP(F45,RANGOFECHAFINAL,25,FALSE)</f>
        <v>45975</v>
      </c>
      <c r="AA45" s="8" t="s">
        <v>284</v>
      </c>
      <c r="AB45" s="8" t="s">
        <v>41</v>
      </c>
      <c r="AC45" s="8" t="s">
        <v>42</v>
      </c>
      <c r="AD45" s="7"/>
    </row>
    <row r="46">
      <c r="A46" s="7">
        <v>41.0</v>
      </c>
      <c r="B46" s="7" t="s">
        <v>30</v>
      </c>
      <c r="C46" s="7" t="s">
        <v>285</v>
      </c>
      <c r="D46" s="7" t="s">
        <v>32</v>
      </c>
      <c r="E46" s="8" t="s">
        <v>33</v>
      </c>
      <c r="F46" s="8" t="s">
        <v>286</v>
      </c>
      <c r="G46" s="9" t="s">
        <v>287</v>
      </c>
      <c r="H46" s="8" t="s">
        <v>288</v>
      </c>
      <c r="I46" s="8">
        <v>1.019089253E9</v>
      </c>
      <c r="J46" s="10">
        <v>8.10348E7</v>
      </c>
      <c r="K46" s="11"/>
      <c r="L46" s="10">
        <f t="shared" si="1"/>
        <v>81034800</v>
      </c>
      <c r="M46" s="12">
        <f>IFERROR(__xludf.DUMMYFUNCTION("+N46/L46"),0.48484848484848486)</f>
        <v>0.4848484848</v>
      </c>
      <c r="N46" s="13">
        <v>3.92896E7</v>
      </c>
      <c r="O46" s="13">
        <f t="shared" si="2"/>
        <v>41745200</v>
      </c>
      <c r="P46" s="8" t="s">
        <v>91</v>
      </c>
      <c r="Q46" s="8">
        <v>8325.0</v>
      </c>
      <c r="R46" s="8">
        <v>9125.0</v>
      </c>
      <c r="S46" s="14">
        <v>45673.0</v>
      </c>
      <c r="T46" s="15" t="s">
        <v>39</v>
      </c>
      <c r="U46" s="14">
        <v>45678.0</v>
      </c>
      <c r="V46" s="8"/>
      <c r="W46" s="8">
        <v>333.0</v>
      </c>
      <c r="X46" s="8">
        <f t="shared" si="3"/>
        <v>333</v>
      </c>
      <c r="Y46" s="8">
        <v>54.65465465</v>
      </c>
      <c r="Z46" s="17">
        <f>VLOOKUP(F46,RANGOFECHAFINAL,25,FALSE)</f>
        <v>46011</v>
      </c>
      <c r="AA46" s="8" t="s">
        <v>289</v>
      </c>
      <c r="AB46" s="8" t="s">
        <v>165</v>
      </c>
      <c r="AC46" s="8" t="s">
        <v>42</v>
      </c>
      <c r="AD46" s="7"/>
    </row>
    <row r="47">
      <c r="A47" s="7">
        <v>42.0</v>
      </c>
      <c r="B47" s="7" t="s">
        <v>30</v>
      </c>
      <c r="C47" s="7" t="s">
        <v>290</v>
      </c>
      <c r="D47" s="7" t="s">
        <v>32</v>
      </c>
      <c r="E47" s="8" t="s">
        <v>33</v>
      </c>
      <c r="F47" s="8" t="s">
        <v>291</v>
      </c>
      <c r="G47" s="9" t="s">
        <v>292</v>
      </c>
      <c r="H47" s="8" t="s">
        <v>293</v>
      </c>
      <c r="I47" s="8">
        <v>1.014183131E9</v>
      </c>
      <c r="J47" s="10">
        <v>9.13353E7</v>
      </c>
      <c r="K47" s="11"/>
      <c r="L47" s="10">
        <f t="shared" si="1"/>
        <v>91335300</v>
      </c>
      <c r="M47" s="12">
        <f>IFERROR(__xludf.DUMMYFUNCTION("+N47/L47"),0.4811594202898551)</f>
        <v>0.4811594203</v>
      </c>
      <c r="N47" s="13">
        <v>4.394684E7</v>
      </c>
      <c r="O47" s="13">
        <f t="shared" si="2"/>
        <v>47388460</v>
      </c>
      <c r="P47" s="8" t="s">
        <v>91</v>
      </c>
      <c r="Q47" s="8">
        <v>8925.0</v>
      </c>
      <c r="R47" s="8">
        <v>4825.0</v>
      </c>
      <c r="S47" s="14">
        <v>45670.0</v>
      </c>
      <c r="T47" s="15" t="s">
        <v>39</v>
      </c>
      <c r="U47" s="14">
        <v>45672.0</v>
      </c>
      <c r="V47" s="8"/>
      <c r="W47" s="8">
        <v>348.0</v>
      </c>
      <c r="X47" s="8">
        <f t="shared" si="3"/>
        <v>348</v>
      </c>
      <c r="Y47" s="8">
        <v>54.02298851</v>
      </c>
      <c r="Z47" s="17">
        <f>VLOOKUP(F47,RANGOFECHAFINAL,25,FALSE)</f>
        <v>46020</v>
      </c>
      <c r="AA47" s="8" t="s">
        <v>294</v>
      </c>
      <c r="AB47" s="8" t="s">
        <v>93</v>
      </c>
      <c r="AC47" s="8" t="s">
        <v>42</v>
      </c>
      <c r="AD47" s="7"/>
    </row>
    <row r="48">
      <c r="A48" s="7">
        <v>43.0</v>
      </c>
      <c r="B48" s="7" t="s">
        <v>30</v>
      </c>
      <c r="C48" s="7" t="s">
        <v>295</v>
      </c>
      <c r="D48" s="7" t="s">
        <v>32</v>
      </c>
      <c r="E48" s="8" t="s">
        <v>33</v>
      </c>
      <c r="F48" s="8" t="s">
        <v>296</v>
      </c>
      <c r="G48" s="9" t="s">
        <v>297</v>
      </c>
      <c r="H48" s="8" t="s">
        <v>298</v>
      </c>
      <c r="I48" s="8">
        <v>1.004754082E9</v>
      </c>
      <c r="J48" s="10">
        <v>3.613995E7</v>
      </c>
      <c r="K48" s="11"/>
      <c r="L48" s="10">
        <f t="shared" si="1"/>
        <v>36139950</v>
      </c>
      <c r="M48" s="12">
        <f>IFERROR(__xludf.DUMMYFUNCTION("+N48/L48"),0.503030303030303)</f>
        <v>0.503030303</v>
      </c>
      <c r="N48" s="13">
        <v>1.817949E7</v>
      </c>
      <c r="O48" s="13">
        <f t="shared" si="2"/>
        <v>17960460</v>
      </c>
      <c r="P48" s="8" t="s">
        <v>91</v>
      </c>
      <c r="Q48" s="8">
        <v>9125.0</v>
      </c>
      <c r="R48" s="8">
        <v>4725.0</v>
      </c>
      <c r="S48" s="14">
        <v>45670.0</v>
      </c>
      <c r="T48" s="15" t="s">
        <v>39</v>
      </c>
      <c r="U48" s="14">
        <v>45672.0</v>
      </c>
      <c r="V48" s="8"/>
      <c r="W48" s="8">
        <v>333.0</v>
      </c>
      <c r="X48" s="8">
        <f t="shared" si="3"/>
        <v>333</v>
      </c>
      <c r="Y48" s="8">
        <v>56.45645646</v>
      </c>
      <c r="Z48" s="17">
        <f>VLOOKUP(F48,RANGOFECHAFINAL,25,FALSE)</f>
        <v>46005</v>
      </c>
      <c r="AA48" s="8" t="s">
        <v>170</v>
      </c>
      <c r="AB48" s="8" t="s">
        <v>93</v>
      </c>
      <c r="AC48" s="8" t="s">
        <v>42</v>
      </c>
      <c r="AD48" s="7"/>
    </row>
    <row r="49">
      <c r="A49" s="7">
        <v>44.0</v>
      </c>
      <c r="B49" s="7" t="s">
        <v>30</v>
      </c>
      <c r="C49" s="7" t="s">
        <v>299</v>
      </c>
      <c r="D49" s="7" t="s">
        <v>32</v>
      </c>
      <c r="E49" s="8" t="s">
        <v>33</v>
      </c>
      <c r="F49" s="8" t="s">
        <v>300</v>
      </c>
      <c r="G49" s="9" t="s">
        <v>301</v>
      </c>
      <c r="H49" s="8" t="s">
        <v>302</v>
      </c>
      <c r="I49" s="8">
        <v>1.052408723E9</v>
      </c>
      <c r="J49" s="10">
        <v>4.98525E7</v>
      </c>
      <c r="K49" s="11">
        <v>-144500.0</v>
      </c>
      <c r="L49" s="10">
        <f t="shared" si="1"/>
        <v>49708000</v>
      </c>
      <c r="M49" s="12">
        <f>IFERROR(__xludf.DUMMYFUNCTION("+N49/L49"),0.47674418604651164)</f>
        <v>0.476744186</v>
      </c>
      <c r="N49" s="13">
        <v>2.3698E7</v>
      </c>
      <c r="O49" s="13">
        <f t="shared" si="2"/>
        <v>26010000</v>
      </c>
      <c r="P49" s="8" t="s">
        <v>111</v>
      </c>
      <c r="Q49" s="8">
        <v>4825.0</v>
      </c>
      <c r="R49" s="8">
        <v>6325.0</v>
      </c>
      <c r="S49" s="14">
        <v>45672.0</v>
      </c>
      <c r="T49" s="15" t="s">
        <v>39</v>
      </c>
      <c r="U49" s="14">
        <v>45674.0</v>
      </c>
      <c r="V49" s="8"/>
      <c r="W49" s="8">
        <v>348.0</v>
      </c>
      <c r="X49" s="8">
        <f t="shared" si="3"/>
        <v>348</v>
      </c>
      <c r="Y49" s="8">
        <v>53.44827586</v>
      </c>
      <c r="Z49" s="17">
        <f>VLOOKUP(F49,RANGOFECHAFINAL,25,FALSE)</f>
        <v>46022</v>
      </c>
      <c r="AA49" s="8" t="s">
        <v>112</v>
      </c>
      <c r="AB49" s="8" t="s">
        <v>113</v>
      </c>
      <c r="AC49" s="8" t="s">
        <v>42</v>
      </c>
      <c r="AD49" s="7"/>
    </row>
    <row r="50">
      <c r="A50" s="7">
        <v>45.0</v>
      </c>
      <c r="B50" s="7" t="s">
        <v>30</v>
      </c>
      <c r="C50" s="7" t="s">
        <v>303</v>
      </c>
      <c r="D50" s="7" t="s">
        <v>32</v>
      </c>
      <c r="E50" s="8" t="s">
        <v>33</v>
      </c>
      <c r="F50" s="8" t="s">
        <v>304</v>
      </c>
      <c r="G50" s="9" t="s">
        <v>305</v>
      </c>
      <c r="H50" s="8" t="s">
        <v>306</v>
      </c>
      <c r="I50" s="8">
        <v>5.2713391E7</v>
      </c>
      <c r="J50" s="10">
        <v>7.114245E7</v>
      </c>
      <c r="K50" s="11"/>
      <c r="L50" s="10">
        <f t="shared" si="1"/>
        <v>71142450</v>
      </c>
      <c r="M50" s="12">
        <f>IFERROR(__xludf.DUMMYFUNCTION("+N50/L50"),0.6509803921568628)</f>
        <v>0.6509803922</v>
      </c>
      <c r="N50" s="13">
        <v>4.631234E7</v>
      </c>
      <c r="O50" s="13">
        <f t="shared" si="2"/>
        <v>24830110</v>
      </c>
      <c r="P50" s="8" t="s">
        <v>47</v>
      </c>
      <c r="Q50" s="8">
        <v>5025.0</v>
      </c>
      <c r="R50" s="8">
        <v>5325.0</v>
      </c>
      <c r="S50" s="14">
        <v>45671.0</v>
      </c>
      <c r="T50" s="15" t="s">
        <v>39</v>
      </c>
      <c r="U50" s="14">
        <v>45672.0</v>
      </c>
      <c r="V50" s="8"/>
      <c r="W50" s="8">
        <v>257.0</v>
      </c>
      <c r="X50" s="8">
        <f t="shared" si="3"/>
        <v>257</v>
      </c>
      <c r="Y50" s="8">
        <v>73.15175097</v>
      </c>
      <c r="Z50" s="17">
        <f>VLOOKUP(F50,RANGOFECHAFINAL,25,FALSE)</f>
        <v>45929</v>
      </c>
      <c r="AA50" s="8" t="s">
        <v>307</v>
      </c>
      <c r="AB50" s="8" t="s">
        <v>308</v>
      </c>
      <c r="AC50" s="8" t="s">
        <v>42</v>
      </c>
      <c r="AD50" s="7"/>
    </row>
    <row r="51">
      <c r="A51" s="7">
        <v>46.0</v>
      </c>
      <c r="B51" s="7" t="s">
        <v>30</v>
      </c>
      <c r="C51" s="7" t="s">
        <v>309</v>
      </c>
      <c r="D51" s="7" t="s">
        <v>32</v>
      </c>
      <c r="E51" s="8" t="s">
        <v>33</v>
      </c>
      <c r="F51" s="8" t="s">
        <v>310</v>
      </c>
      <c r="G51" s="9" t="s">
        <v>311</v>
      </c>
      <c r="H51" s="8" t="s">
        <v>312</v>
      </c>
      <c r="I51" s="8">
        <v>1.08829271E9</v>
      </c>
      <c r="J51" s="10">
        <v>9.60687E7</v>
      </c>
      <c r="K51" s="11"/>
      <c r="L51" s="10">
        <f t="shared" si="1"/>
        <v>96068700</v>
      </c>
      <c r="M51" s="12">
        <f>IFERROR(__xludf.DUMMYFUNCTION("+N51/L51"),0.4811594202898551)</f>
        <v>0.4811594203</v>
      </c>
      <c r="N51" s="13">
        <v>4.622436E7</v>
      </c>
      <c r="O51" s="13">
        <f t="shared" si="2"/>
        <v>49844340</v>
      </c>
      <c r="P51" s="8" t="s">
        <v>313</v>
      </c>
      <c r="Q51" s="8">
        <v>8725.0</v>
      </c>
      <c r="R51" s="8">
        <v>5625.0</v>
      </c>
      <c r="S51" s="14">
        <v>45671.0</v>
      </c>
      <c r="T51" s="15" t="s">
        <v>39</v>
      </c>
      <c r="U51" s="14">
        <v>45672.0</v>
      </c>
      <c r="V51" s="8"/>
      <c r="W51" s="8">
        <v>348.0</v>
      </c>
      <c r="X51" s="8">
        <f t="shared" si="3"/>
        <v>348</v>
      </c>
      <c r="Y51" s="8">
        <v>54.02298851</v>
      </c>
      <c r="Z51" s="17">
        <f>VLOOKUP(F51,RANGOFECHAFINAL,25,FALSE)</f>
        <v>46020</v>
      </c>
      <c r="AA51" s="8" t="s">
        <v>294</v>
      </c>
      <c r="AB51" s="8" t="s">
        <v>93</v>
      </c>
      <c r="AC51" s="8" t="s">
        <v>42</v>
      </c>
      <c r="AD51" s="7"/>
    </row>
    <row r="52">
      <c r="A52" s="7">
        <v>47.0</v>
      </c>
      <c r="B52" s="7" t="s">
        <v>30</v>
      </c>
      <c r="C52" s="7" t="s">
        <v>314</v>
      </c>
      <c r="D52" s="7" t="s">
        <v>32</v>
      </c>
      <c r="E52" s="8" t="s">
        <v>33</v>
      </c>
      <c r="F52" s="8" t="s">
        <v>315</v>
      </c>
      <c r="G52" s="9" t="s">
        <v>316</v>
      </c>
      <c r="H52" s="8" t="s">
        <v>317</v>
      </c>
      <c r="I52" s="8">
        <v>1.019009968E9</v>
      </c>
      <c r="J52" s="10">
        <v>1.44029984E8</v>
      </c>
      <c r="K52" s="11"/>
      <c r="L52" s="10">
        <f t="shared" si="1"/>
        <v>144029984</v>
      </c>
      <c r="M52" s="12">
        <f>IFERROR(__xludf.DUMMYFUNCTION("+N52/L52"),0.5076452553101721)</f>
        <v>0.5076452553</v>
      </c>
      <c r="N52" s="13">
        <v>7.3116138E7</v>
      </c>
      <c r="O52" s="13">
        <f t="shared" si="2"/>
        <v>70913846</v>
      </c>
      <c r="P52" s="8" t="s">
        <v>313</v>
      </c>
      <c r="Q52" s="8">
        <v>8825.0</v>
      </c>
      <c r="R52" s="8">
        <v>5425.0</v>
      </c>
      <c r="S52" s="14">
        <v>45671.0</v>
      </c>
      <c r="T52" s="15" t="s">
        <v>39</v>
      </c>
      <c r="U52" s="14">
        <v>45672.0</v>
      </c>
      <c r="V52" s="8"/>
      <c r="W52" s="8">
        <v>330.0</v>
      </c>
      <c r="X52" s="8">
        <f t="shared" si="3"/>
        <v>330</v>
      </c>
      <c r="Y52" s="8">
        <v>56.96969697</v>
      </c>
      <c r="Z52" s="17">
        <f>VLOOKUP(F52,RANGOFECHAFINAL,25,FALSE)</f>
        <v>46002</v>
      </c>
      <c r="AA52" s="8" t="s">
        <v>318</v>
      </c>
      <c r="AB52" s="8" t="s">
        <v>319</v>
      </c>
      <c r="AC52" s="8" t="s">
        <v>42</v>
      </c>
      <c r="AD52" s="7"/>
    </row>
    <row r="53">
      <c r="A53" s="7">
        <v>48.0</v>
      </c>
      <c r="B53" s="7" t="s">
        <v>30</v>
      </c>
      <c r="C53" s="7" t="s">
        <v>320</v>
      </c>
      <c r="D53" s="7" t="s">
        <v>32</v>
      </c>
      <c r="E53" s="8" t="s">
        <v>33</v>
      </c>
      <c r="F53" s="8" t="s">
        <v>321</v>
      </c>
      <c r="G53" s="9" t="s">
        <v>322</v>
      </c>
      <c r="H53" s="8" t="s">
        <v>323</v>
      </c>
      <c r="I53" s="8">
        <v>5.2866537E7</v>
      </c>
      <c r="J53" s="10">
        <v>1.1980815E8</v>
      </c>
      <c r="K53" s="11"/>
      <c r="L53" s="10">
        <f t="shared" si="1"/>
        <v>119808150</v>
      </c>
      <c r="M53" s="12">
        <f>IFERROR(__xludf.DUMMYFUNCTION("+N53/L53"),0.4811594202898551)</f>
        <v>0.4811594203</v>
      </c>
      <c r="N53" s="13">
        <v>5.764682E7</v>
      </c>
      <c r="O53" s="13">
        <f t="shared" si="2"/>
        <v>62161330</v>
      </c>
      <c r="P53" s="8" t="s">
        <v>313</v>
      </c>
      <c r="Q53" s="8">
        <v>8525.0</v>
      </c>
      <c r="R53" s="8">
        <v>5525.0</v>
      </c>
      <c r="S53" s="14">
        <v>45671.0</v>
      </c>
      <c r="T53" s="15" t="s">
        <v>39</v>
      </c>
      <c r="U53" s="14">
        <v>45672.0</v>
      </c>
      <c r="V53" s="8"/>
      <c r="W53" s="8">
        <v>348.0</v>
      </c>
      <c r="X53" s="8">
        <f t="shared" si="3"/>
        <v>348</v>
      </c>
      <c r="Y53" s="8">
        <v>54.02298851</v>
      </c>
      <c r="Z53" s="17">
        <f>VLOOKUP(F53,RANGOFECHAFINAL,25,FALSE)</f>
        <v>46020</v>
      </c>
      <c r="AA53" s="8" t="s">
        <v>318</v>
      </c>
      <c r="AB53" s="8" t="s">
        <v>319</v>
      </c>
      <c r="AC53" s="8" t="s">
        <v>42</v>
      </c>
      <c r="AD53" s="7"/>
    </row>
    <row r="54">
      <c r="A54" s="7">
        <v>49.0</v>
      </c>
      <c r="B54" s="7" t="s">
        <v>30</v>
      </c>
      <c r="C54" s="7" t="s">
        <v>324</v>
      </c>
      <c r="D54" s="7" t="s">
        <v>32</v>
      </c>
      <c r="E54" s="8" t="s">
        <v>33</v>
      </c>
      <c r="F54" s="8" t="s">
        <v>325</v>
      </c>
      <c r="G54" s="9" t="s">
        <v>326</v>
      </c>
      <c r="H54" s="8" t="s">
        <v>327</v>
      </c>
      <c r="I54" s="8">
        <v>1.152693194E9</v>
      </c>
      <c r="J54" s="10">
        <v>5.75E7</v>
      </c>
      <c r="K54" s="11"/>
      <c r="L54" s="10">
        <f t="shared" si="1"/>
        <v>57500000</v>
      </c>
      <c r="M54" s="12">
        <f>IFERROR(__xludf.DUMMYFUNCTION("+N54/L54"),0.48115940869565216)</f>
        <v>0.4811594087</v>
      </c>
      <c r="N54" s="13">
        <v>2.7666666E7</v>
      </c>
      <c r="O54" s="13">
        <f t="shared" si="2"/>
        <v>29833334</v>
      </c>
      <c r="P54" s="8" t="s">
        <v>38</v>
      </c>
      <c r="Q54" s="8">
        <v>8425.0</v>
      </c>
      <c r="R54" s="8">
        <v>5225.0</v>
      </c>
      <c r="S54" s="14">
        <v>45671.0</v>
      </c>
      <c r="T54" s="15" t="s">
        <v>39</v>
      </c>
      <c r="U54" s="14">
        <v>45672.0</v>
      </c>
      <c r="V54" s="8"/>
      <c r="W54" s="8">
        <v>348.0</v>
      </c>
      <c r="X54" s="8">
        <f t="shared" si="3"/>
        <v>348</v>
      </c>
      <c r="Y54" s="8">
        <v>54.02298851</v>
      </c>
      <c r="Z54" s="17">
        <f>VLOOKUP(F54,RANGOFECHAFINAL,25,FALSE)</f>
        <v>46020</v>
      </c>
      <c r="AA54" s="8" t="s">
        <v>328</v>
      </c>
      <c r="AB54" s="8" t="s">
        <v>176</v>
      </c>
      <c r="AC54" s="8" t="s">
        <v>42</v>
      </c>
      <c r="AD54" s="7"/>
    </row>
    <row r="55">
      <c r="A55" s="7">
        <v>50.0</v>
      </c>
      <c r="B55" s="7" t="s">
        <v>30</v>
      </c>
      <c r="C55" s="7" t="s">
        <v>329</v>
      </c>
      <c r="D55" s="7" t="s">
        <v>32</v>
      </c>
      <c r="E55" s="8" t="s">
        <v>248</v>
      </c>
      <c r="F55" s="8" t="s">
        <v>330</v>
      </c>
      <c r="G55" s="9" t="s">
        <v>331</v>
      </c>
      <c r="H55" s="8" t="s">
        <v>332</v>
      </c>
      <c r="I55" s="8">
        <v>1.003691415E9</v>
      </c>
      <c r="J55" s="10">
        <v>4.8092E7</v>
      </c>
      <c r="K55" s="11"/>
      <c r="L55" s="10">
        <f t="shared" si="1"/>
        <v>48092000</v>
      </c>
      <c r="M55" s="12">
        <f>IFERROR(__xludf.DUMMYFUNCTION("+N55/L55"),0.4878787948099476)</f>
        <v>0.4878787948</v>
      </c>
      <c r="N55" s="13">
        <v>2.3463067E7</v>
      </c>
      <c r="O55" s="13">
        <f t="shared" si="2"/>
        <v>24628933</v>
      </c>
      <c r="P55" s="8" t="s">
        <v>62</v>
      </c>
      <c r="Q55" s="8">
        <v>5525.0</v>
      </c>
      <c r="R55" s="8">
        <v>7725.0</v>
      </c>
      <c r="S55" s="14">
        <v>45673.0</v>
      </c>
      <c r="T55" s="15" t="s">
        <v>39</v>
      </c>
      <c r="U55" s="14">
        <v>45677.0</v>
      </c>
      <c r="V55" s="8"/>
      <c r="W55" s="8">
        <v>333.0</v>
      </c>
      <c r="X55" s="8">
        <f t="shared" si="3"/>
        <v>333</v>
      </c>
      <c r="Y55" s="8">
        <v>54.95495495</v>
      </c>
      <c r="Z55" s="17">
        <f>VLOOKUP(F55,RANGOFECHAFINAL,25,FALSE)</f>
        <v>46010</v>
      </c>
      <c r="AA55" s="8" t="s">
        <v>192</v>
      </c>
      <c r="AB55" s="8" t="s">
        <v>193</v>
      </c>
      <c r="AC55" s="8" t="s">
        <v>42</v>
      </c>
      <c r="AD55" s="7"/>
    </row>
    <row r="56">
      <c r="A56" s="7">
        <v>51.0</v>
      </c>
      <c r="B56" s="7" t="s">
        <v>30</v>
      </c>
      <c r="C56" s="7" t="s">
        <v>333</v>
      </c>
      <c r="D56" s="7" t="s">
        <v>32</v>
      </c>
      <c r="E56" s="8" t="s">
        <v>33</v>
      </c>
      <c r="F56" s="8" t="s">
        <v>334</v>
      </c>
      <c r="G56" s="9" t="s">
        <v>335</v>
      </c>
      <c r="H56" s="8" t="s">
        <v>336</v>
      </c>
      <c r="I56" s="8">
        <v>8.0027001E7</v>
      </c>
      <c r="J56" s="10">
        <v>6.3E7</v>
      </c>
      <c r="K56" s="11"/>
      <c r="L56" s="10">
        <f t="shared" si="1"/>
        <v>63000000</v>
      </c>
      <c r="M56" s="12">
        <f>IFERROR(__xludf.DUMMYFUNCTION("+N56/L56"),0.5962963015873016)</f>
        <v>0.5962963016</v>
      </c>
      <c r="N56" s="13">
        <v>3.7566667E7</v>
      </c>
      <c r="O56" s="13">
        <f t="shared" si="2"/>
        <v>25433333</v>
      </c>
      <c r="P56" s="8" t="s">
        <v>62</v>
      </c>
      <c r="Q56" s="8">
        <v>5825.0</v>
      </c>
      <c r="R56" s="8">
        <v>8125.0</v>
      </c>
      <c r="S56" s="14">
        <v>45673.0</v>
      </c>
      <c r="T56" s="15" t="s">
        <v>39</v>
      </c>
      <c r="U56" s="14">
        <v>45677.0</v>
      </c>
      <c r="V56" s="8"/>
      <c r="W56" s="8">
        <v>272.0</v>
      </c>
      <c r="X56" s="8">
        <f t="shared" si="3"/>
        <v>272</v>
      </c>
      <c r="Y56" s="8">
        <v>67.27941176</v>
      </c>
      <c r="Z56" s="17">
        <f>VLOOKUP(F56,RANGOFECHAFINAL,25,FALSE)</f>
        <v>45949</v>
      </c>
      <c r="AA56" s="8" t="s">
        <v>337</v>
      </c>
      <c r="AB56" s="8" t="s">
        <v>134</v>
      </c>
      <c r="AC56" s="8" t="s">
        <v>42</v>
      </c>
      <c r="AD56" s="7"/>
    </row>
    <row r="57">
      <c r="A57" s="7">
        <v>52.0</v>
      </c>
      <c r="B57" s="7" t="s">
        <v>30</v>
      </c>
      <c r="C57" s="7" t="s">
        <v>338</v>
      </c>
      <c r="D57" s="7" t="s">
        <v>32</v>
      </c>
      <c r="E57" s="8" t="s">
        <v>33</v>
      </c>
      <c r="F57" s="8" t="s">
        <v>339</v>
      </c>
      <c r="G57" s="9" t="s">
        <v>340</v>
      </c>
      <c r="H57" s="8" t="s">
        <v>341</v>
      </c>
      <c r="I57" s="8">
        <v>1.136879313E9</v>
      </c>
      <c r="J57" s="10">
        <v>8.28E7</v>
      </c>
      <c r="K57" s="11"/>
      <c r="L57" s="10">
        <f t="shared" si="1"/>
        <v>82800000</v>
      </c>
      <c r="M57" s="12">
        <f>IFERROR(__xludf.DUMMYFUNCTION("+N57/L57"),0.4782608695652174)</f>
        <v>0.4782608696</v>
      </c>
      <c r="N57" s="13">
        <v>3.96E7</v>
      </c>
      <c r="O57" s="13">
        <f t="shared" si="2"/>
        <v>43200000</v>
      </c>
      <c r="P57" s="8" t="s">
        <v>77</v>
      </c>
      <c r="Q57" s="8">
        <v>4325.0</v>
      </c>
      <c r="R57" s="8">
        <v>6125.0</v>
      </c>
      <c r="S57" s="14">
        <v>45672.0</v>
      </c>
      <c r="T57" s="15" t="s">
        <v>39</v>
      </c>
      <c r="U57" s="14">
        <v>45673.0</v>
      </c>
      <c r="V57" s="8"/>
      <c r="W57" s="8">
        <v>348.0</v>
      </c>
      <c r="X57" s="8">
        <f t="shared" si="3"/>
        <v>348</v>
      </c>
      <c r="Y57" s="8">
        <v>53.73563218</v>
      </c>
      <c r="Z57" s="17">
        <f>VLOOKUP(F57,RANGOFECHAFINAL,25,FALSE)</f>
        <v>46021</v>
      </c>
      <c r="AA57" s="8" t="s">
        <v>105</v>
      </c>
      <c r="AB57" s="8" t="s">
        <v>106</v>
      </c>
      <c r="AC57" s="8" t="s">
        <v>42</v>
      </c>
      <c r="AD57" s="7"/>
    </row>
    <row r="58">
      <c r="A58" s="7">
        <v>53.0</v>
      </c>
      <c r="B58" s="7" t="s">
        <v>30</v>
      </c>
      <c r="C58" s="7" t="s">
        <v>342</v>
      </c>
      <c r="D58" s="7" t="s">
        <v>32</v>
      </c>
      <c r="E58" s="8" t="s">
        <v>33</v>
      </c>
      <c r="F58" s="8" t="s">
        <v>343</v>
      </c>
      <c r="G58" s="9" t="s">
        <v>344</v>
      </c>
      <c r="H58" s="8" t="s">
        <v>345</v>
      </c>
      <c r="I58" s="8">
        <v>1.143855242E9</v>
      </c>
      <c r="J58" s="10">
        <v>2.700654E7</v>
      </c>
      <c r="K58" s="11"/>
      <c r="L58" s="10">
        <f t="shared" si="1"/>
        <v>27006540</v>
      </c>
      <c r="M58" s="12">
        <f>IFERROR(__xludf.DUMMYFUNCTION("+N58/L58"),0.8128342245989305)</f>
        <v>0.8128342246</v>
      </c>
      <c r="N58" s="13">
        <v>2.195184E7</v>
      </c>
      <c r="O58" s="13">
        <f t="shared" si="2"/>
        <v>5054700</v>
      </c>
      <c r="P58" s="8" t="s">
        <v>53</v>
      </c>
      <c r="Q58" s="8">
        <v>6825.0</v>
      </c>
      <c r="R58" s="8">
        <v>6825.0</v>
      </c>
      <c r="S58" s="14">
        <v>45672.0</v>
      </c>
      <c r="T58" s="15" t="s">
        <v>39</v>
      </c>
      <c r="U58" s="14">
        <v>45686.0</v>
      </c>
      <c r="V58" s="8"/>
      <c r="W58" s="8">
        <v>188.0</v>
      </c>
      <c r="X58" s="8">
        <f t="shared" si="3"/>
        <v>188</v>
      </c>
      <c r="Y58" s="8">
        <v>92.55319149</v>
      </c>
      <c r="Z58" s="17">
        <f>VLOOKUP(F58,RANGOFECHAFINAL,25,FALSE)</f>
        <v>45874</v>
      </c>
      <c r="AA58" s="8" t="s">
        <v>346</v>
      </c>
      <c r="AB58" s="8" t="s">
        <v>182</v>
      </c>
      <c r="AC58" s="8" t="s">
        <v>42</v>
      </c>
      <c r="AD58" s="7"/>
    </row>
    <row r="59">
      <c r="A59" s="7">
        <v>54.0</v>
      </c>
      <c r="B59" s="7" t="s">
        <v>30</v>
      </c>
      <c r="C59" s="7" t="s">
        <v>347</v>
      </c>
      <c r="D59" s="7" t="s">
        <v>32</v>
      </c>
      <c r="E59" s="8" t="s">
        <v>33</v>
      </c>
      <c r="F59" s="8" t="s">
        <v>348</v>
      </c>
      <c r="G59" s="9" t="s">
        <v>349</v>
      </c>
      <c r="H59" s="8" t="s">
        <v>350</v>
      </c>
      <c r="I59" s="8">
        <v>1.09872233E9</v>
      </c>
      <c r="J59" s="10">
        <v>8.8367016E7</v>
      </c>
      <c r="K59" s="11">
        <v>3835517.0</v>
      </c>
      <c r="L59" s="10">
        <f t="shared" si="1"/>
        <v>92202533</v>
      </c>
      <c r="M59" s="12">
        <f>IFERROR(__xludf.DUMMYFUNCTION("+N59/L59"),0.4717788826907825)</f>
        <v>0.4717788827</v>
      </c>
      <c r="N59" s="13">
        <v>4.3499208E7</v>
      </c>
      <c r="O59" s="13">
        <f t="shared" si="2"/>
        <v>48703325</v>
      </c>
      <c r="P59" s="8" t="s">
        <v>351</v>
      </c>
      <c r="Q59" s="8">
        <v>6525.0</v>
      </c>
      <c r="R59" s="8">
        <v>7225.0</v>
      </c>
      <c r="S59" s="14">
        <v>45673.0</v>
      </c>
      <c r="T59" s="15" t="s">
        <v>39</v>
      </c>
      <c r="U59" s="14">
        <v>45674.0</v>
      </c>
      <c r="V59" s="8">
        <v>7.0</v>
      </c>
      <c r="W59" s="8">
        <v>340.0</v>
      </c>
      <c r="X59" s="8">
        <f t="shared" si="3"/>
        <v>347</v>
      </c>
      <c r="Y59" s="8">
        <v>54.70588235</v>
      </c>
      <c r="Z59" s="17">
        <f>VLOOKUP(F59,RANGOFECHAFINAL,25,FALSE)</f>
        <v>46014</v>
      </c>
      <c r="AA59" s="8" t="s">
        <v>352</v>
      </c>
      <c r="AB59" s="8" t="s">
        <v>182</v>
      </c>
      <c r="AC59" s="8" t="s">
        <v>42</v>
      </c>
      <c r="AD59" s="7"/>
    </row>
    <row r="60">
      <c r="A60" s="7">
        <v>55.0</v>
      </c>
      <c r="B60" s="7" t="s">
        <v>30</v>
      </c>
      <c r="C60" s="7" t="s">
        <v>353</v>
      </c>
      <c r="D60" s="7" t="s">
        <v>32</v>
      </c>
      <c r="E60" s="8" t="s">
        <v>33</v>
      </c>
      <c r="F60" s="8" t="s">
        <v>354</v>
      </c>
      <c r="G60" s="9" t="s">
        <v>355</v>
      </c>
      <c r="H60" s="8" t="s">
        <v>356</v>
      </c>
      <c r="I60" s="8">
        <v>1.018453844E9</v>
      </c>
      <c r="J60" s="10">
        <v>1.1980815E8</v>
      </c>
      <c r="K60" s="11"/>
      <c r="L60" s="10">
        <f t="shared" si="1"/>
        <v>119808150</v>
      </c>
      <c r="M60" s="12">
        <f>IFERROR(__xludf.DUMMYFUNCTION("+N60/L60"),0.4811594202898551)</f>
        <v>0.4811594203</v>
      </c>
      <c r="N60" s="13">
        <v>5.764682E7</v>
      </c>
      <c r="O60" s="13">
        <f t="shared" si="2"/>
        <v>62161330</v>
      </c>
      <c r="P60" s="8" t="s">
        <v>313</v>
      </c>
      <c r="Q60" s="8">
        <v>8625.0</v>
      </c>
      <c r="R60" s="8">
        <v>5725.0</v>
      </c>
      <c r="S60" s="14">
        <v>45671.0</v>
      </c>
      <c r="T60" s="15" t="s">
        <v>39</v>
      </c>
      <c r="U60" s="14">
        <v>45672.0</v>
      </c>
      <c r="V60" s="8"/>
      <c r="W60" s="8">
        <v>348.0</v>
      </c>
      <c r="X60" s="8">
        <f t="shared" si="3"/>
        <v>348</v>
      </c>
      <c r="Y60" s="8">
        <v>54.02298851</v>
      </c>
      <c r="Z60" s="17">
        <f>VLOOKUP(F60,RANGOFECHAFINAL,25,FALSE)</f>
        <v>46020</v>
      </c>
      <c r="AA60" s="8" t="s">
        <v>357</v>
      </c>
      <c r="AB60" s="8" t="s">
        <v>93</v>
      </c>
      <c r="AC60" s="8" t="s">
        <v>42</v>
      </c>
      <c r="AD60" s="7"/>
    </row>
    <row r="61">
      <c r="A61" s="7">
        <v>56.0</v>
      </c>
      <c r="B61" s="7" t="s">
        <v>30</v>
      </c>
      <c r="C61" s="7" t="s">
        <v>358</v>
      </c>
      <c r="D61" s="7" t="s">
        <v>32</v>
      </c>
      <c r="E61" s="8" t="s">
        <v>33</v>
      </c>
      <c r="F61" s="8" t="s">
        <v>359</v>
      </c>
      <c r="G61" s="9" t="s">
        <v>360</v>
      </c>
      <c r="H61" s="8" t="s">
        <v>361</v>
      </c>
      <c r="I61" s="8">
        <v>1.098310315E9</v>
      </c>
      <c r="J61" s="10">
        <v>9.29446E7</v>
      </c>
      <c r="K61" s="11">
        <v>2206400.0</v>
      </c>
      <c r="L61" s="10">
        <f t="shared" si="1"/>
        <v>95151000</v>
      </c>
      <c r="M61" s="12">
        <f>IFERROR(__xludf.DUMMYFUNCTION("+N61/L61"),0.4782608695652174)</f>
        <v>0.4782608696</v>
      </c>
      <c r="N61" s="13">
        <v>4.5507E7</v>
      </c>
      <c r="O61" s="13">
        <f t="shared" si="2"/>
        <v>49644000</v>
      </c>
      <c r="P61" s="8" t="s">
        <v>53</v>
      </c>
      <c r="Q61" s="8">
        <v>6925.0</v>
      </c>
      <c r="R61" s="8">
        <v>6625.0</v>
      </c>
      <c r="S61" s="14">
        <v>45672.0</v>
      </c>
      <c r="T61" s="15" t="s">
        <v>39</v>
      </c>
      <c r="U61" s="14">
        <v>45673.0</v>
      </c>
      <c r="V61" s="8">
        <v>8.0</v>
      </c>
      <c r="W61" s="8">
        <v>347.0</v>
      </c>
      <c r="X61" s="8">
        <f t="shared" si="3"/>
        <v>355</v>
      </c>
      <c r="Y61" s="8">
        <v>53.58166189</v>
      </c>
      <c r="Z61" s="17">
        <f>VLOOKUP(F61,RANGOFECHAFINAL,25,FALSE)</f>
        <v>46022</v>
      </c>
      <c r="AA61" s="8" t="s">
        <v>362</v>
      </c>
      <c r="AB61" s="8" t="s">
        <v>176</v>
      </c>
      <c r="AC61" s="8" t="s">
        <v>42</v>
      </c>
      <c r="AD61" s="7"/>
    </row>
    <row r="62">
      <c r="A62" s="7">
        <v>57.0</v>
      </c>
      <c r="B62" s="7" t="s">
        <v>30</v>
      </c>
      <c r="C62" s="7" t="s">
        <v>363</v>
      </c>
      <c r="D62" s="7" t="s">
        <v>32</v>
      </c>
      <c r="E62" s="8" t="s">
        <v>33</v>
      </c>
      <c r="F62" s="8" t="s">
        <v>364</v>
      </c>
      <c r="G62" s="9" t="s">
        <v>365</v>
      </c>
      <c r="H62" s="8" t="s">
        <v>366</v>
      </c>
      <c r="I62" s="8">
        <v>5.1568567E7</v>
      </c>
      <c r="J62" s="10">
        <v>7.735774E7</v>
      </c>
      <c r="K62" s="11"/>
      <c r="L62" s="10">
        <f t="shared" si="1"/>
        <v>77357740</v>
      </c>
      <c r="M62" s="12">
        <f>IFERROR(__xludf.DUMMYFUNCTION("+N62/L62"),0.4782608695652174)</f>
        <v>0.4782608696</v>
      </c>
      <c r="N62" s="13">
        <v>3.699718E7</v>
      </c>
      <c r="O62" s="13">
        <f t="shared" si="2"/>
        <v>40360560</v>
      </c>
      <c r="P62" s="8" t="s">
        <v>367</v>
      </c>
      <c r="Q62" s="8">
        <v>7225.0</v>
      </c>
      <c r="R62" s="8">
        <v>5925.0</v>
      </c>
      <c r="S62" s="14">
        <v>45672.0</v>
      </c>
      <c r="T62" s="15" t="s">
        <v>39</v>
      </c>
      <c r="U62" s="14">
        <v>45673.0</v>
      </c>
      <c r="V62" s="8"/>
      <c r="W62" s="8">
        <v>348.0</v>
      </c>
      <c r="X62" s="8">
        <f t="shared" si="3"/>
        <v>348</v>
      </c>
      <c r="Y62" s="8">
        <v>53.73563218</v>
      </c>
      <c r="Z62" s="17">
        <f>VLOOKUP(F62,RANGOFECHAFINAL,25,FALSE)</f>
        <v>46021</v>
      </c>
      <c r="AA62" s="8" t="s">
        <v>368</v>
      </c>
      <c r="AB62" s="8" t="s">
        <v>369</v>
      </c>
      <c r="AC62" s="8" t="s">
        <v>42</v>
      </c>
      <c r="AD62" s="7"/>
    </row>
    <row r="63">
      <c r="A63" s="7">
        <v>58.0</v>
      </c>
      <c r="B63" s="7" t="s">
        <v>30</v>
      </c>
      <c r="C63" s="7" t="s">
        <v>370</v>
      </c>
      <c r="D63" s="7" t="s">
        <v>32</v>
      </c>
      <c r="E63" s="8" t="s">
        <v>33</v>
      </c>
      <c r="F63" s="8" t="s">
        <v>371</v>
      </c>
      <c r="G63" s="9" t="s">
        <v>372</v>
      </c>
      <c r="H63" s="8" t="s">
        <v>373</v>
      </c>
      <c r="I63" s="8">
        <v>1.020752782E9</v>
      </c>
      <c r="J63" s="10">
        <v>8.05E7</v>
      </c>
      <c r="K63" s="11"/>
      <c r="L63" s="10">
        <f t="shared" si="1"/>
        <v>80500000</v>
      </c>
      <c r="M63" s="12">
        <f>IFERROR(__xludf.DUMMYFUNCTION("+N63/L63"),0.4782608695652174)</f>
        <v>0.4782608696</v>
      </c>
      <c r="N63" s="13">
        <v>3.85E7</v>
      </c>
      <c r="O63" s="13">
        <f t="shared" si="2"/>
        <v>42000000</v>
      </c>
      <c r="P63" s="8" t="s">
        <v>374</v>
      </c>
      <c r="Q63" s="8">
        <v>7125.0</v>
      </c>
      <c r="R63" s="8">
        <v>6225.0</v>
      </c>
      <c r="S63" s="14">
        <v>45671.0</v>
      </c>
      <c r="T63" s="15" t="s">
        <v>39</v>
      </c>
      <c r="U63" s="14">
        <v>45673.0</v>
      </c>
      <c r="V63" s="8"/>
      <c r="W63" s="8">
        <v>345.0</v>
      </c>
      <c r="X63" s="8">
        <f t="shared" si="3"/>
        <v>345</v>
      </c>
      <c r="Y63" s="8">
        <v>53.73563218</v>
      </c>
      <c r="Z63" s="17">
        <f>VLOOKUP(F63,RANGOFECHAFINAL,25,FALSE)</f>
        <v>46021</v>
      </c>
      <c r="AA63" s="8" t="s">
        <v>375</v>
      </c>
      <c r="AB63" s="8" t="s">
        <v>106</v>
      </c>
      <c r="AC63" s="8" t="s">
        <v>42</v>
      </c>
      <c r="AD63" s="7"/>
    </row>
    <row r="64">
      <c r="A64" s="7">
        <v>59.0</v>
      </c>
      <c r="B64" s="7" t="s">
        <v>30</v>
      </c>
      <c r="C64" s="7" t="s">
        <v>376</v>
      </c>
      <c r="D64" s="7" t="s">
        <v>32</v>
      </c>
      <c r="E64" s="8" t="s">
        <v>33</v>
      </c>
      <c r="F64" s="8" t="s">
        <v>377</v>
      </c>
      <c r="G64" s="9" t="s">
        <v>378</v>
      </c>
      <c r="H64" s="8" t="s">
        <v>379</v>
      </c>
      <c r="I64" s="8">
        <v>1.075222248E9</v>
      </c>
      <c r="J64" s="10">
        <v>9.815E7</v>
      </c>
      <c r="K64" s="11"/>
      <c r="L64" s="10">
        <f t="shared" si="1"/>
        <v>98150000</v>
      </c>
      <c r="M64" s="12">
        <f>IFERROR(__xludf.DUMMYFUNCTION("+N64/L64"),0.4868081100356597)</f>
        <v>0.48680811</v>
      </c>
      <c r="N64" s="13">
        <v>4.7780216E7</v>
      </c>
      <c r="O64" s="13">
        <f t="shared" si="2"/>
        <v>50369784</v>
      </c>
      <c r="P64" s="8" t="s">
        <v>91</v>
      </c>
      <c r="Q64" s="8">
        <v>9625.0</v>
      </c>
      <c r="R64" s="8">
        <v>5825.0</v>
      </c>
      <c r="S64" s="14">
        <v>45671.0</v>
      </c>
      <c r="T64" s="15" t="s">
        <v>39</v>
      </c>
      <c r="U64" s="14">
        <v>45673.0</v>
      </c>
      <c r="V64" s="8"/>
      <c r="W64" s="8">
        <v>330.0</v>
      </c>
      <c r="X64" s="8">
        <f t="shared" si="3"/>
        <v>330</v>
      </c>
      <c r="Y64" s="8">
        <v>56.15615616</v>
      </c>
      <c r="Z64" s="17">
        <f>VLOOKUP(F64,RANGOFECHAFINAL,25,FALSE)</f>
        <v>46006</v>
      </c>
      <c r="AA64" s="8" t="s">
        <v>164</v>
      </c>
      <c r="AB64" s="8" t="s">
        <v>93</v>
      </c>
      <c r="AC64" s="8" t="s">
        <v>42</v>
      </c>
      <c r="AD64" s="7"/>
    </row>
    <row r="65">
      <c r="A65" s="7">
        <v>60.0</v>
      </c>
      <c r="B65" s="7" t="s">
        <v>30</v>
      </c>
      <c r="C65" s="7" t="s">
        <v>380</v>
      </c>
      <c r="D65" s="7" t="s">
        <v>32</v>
      </c>
      <c r="E65" s="8" t="s">
        <v>33</v>
      </c>
      <c r="F65" s="8" t="s">
        <v>381</v>
      </c>
      <c r="G65" s="9" t="s">
        <v>382</v>
      </c>
      <c r="H65" s="8" t="s">
        <v>383</v>
      </c>
      <c r="I65" s="8">
        <v>1.016081819E9</v>
      </c>
      <c r="J65" s="10">
        <v>1.2040815E8</v>
      </c>
      <c r="K65" s="11">
        <v>-7.144308E7</v>
      </c>
      <c r="L65" s="10">
        <f t="shared" si="1"/>
        <v>48965070</v>
      </c>
      <c r="M65" s="12">
        <f>IFERROR(__xludf.DUMMYFUNCTION("+N65/L65"),1.0)</f>
        <v>1</v>
      </c>
      <c r="N65" s="13">
        <v>4.896507E7</v>
      </c>
      <c r="O65" s="13">
        <f t="shared" si="2"/>
        <v>0</v>
      </c>
      <c r="P65" s="8" t="s">
        <v>384</v>
      </c>
      <c r="Q65" s="8">
        <v>7525.0</v>
      </c>
      <c r="R65" s="8">
        <v>7525.0</v>
      </c>
      <c r="S65" s="14">
        <v>45670.0</v>
      </c>
      <c r="T65" s="15"/>
      <c r="U65" s="14">
        <v>45677.0</v>
      </c>
      <c r="V65" s="8"/>
      <c r="W65" s="8">
        <v>345.0</v>
      </c>
      <c r="X65" s="8">
        <f t="shared" si="3"/>
        <v>345</v>
      </c>
      <c r="Y65" s="8">
        <v>53.04347826</v>
      </c>
      <c r="Z65" s="17">
        <f>VLOOKUP(F65,RANGOFECHAFINAL,25,FALSE)</f>
        <v>46022</v>
      </c>
      <c r="AA65" s="8" t="s">
        <v>257</v>
      </c>
      <c r="AB65" s="8" t="s">
        <v>258</v>
      </c>
      <c r="AC65" s="8" t="s">
        <v>72</v>
      </c>
      <c r="AD65" s="7"/>
    </row>
    <row r="66">
      <c r="A66" s="7">
        <v>61.0</v>
      </c>
      <c r="B66" s="7" t="s">
        <v>30</v>
      </c>
      <c r="C66" s="7" t="s">
        <v>385</v>
      </c>
      <c r="D66" s="7" t="s">
        <v>32</v>
      </c>
      <c r="E66" s="8" t="s">
        <v>33</v>
      </c>
      <c r="F66" s="8" t="s">
        <v>386</v>
      </c>
      <c r="G66" s="9" t="s">
        <v>387</v>
      </c>
      <c r="H66" s="8" t="s">
        <v>388</v>
      </c>
      <c r="I66" s="8">
        <v>1.018487193E9</v>
      </c>
      <c r="J66" s="10">
        <v>1.2120815E8</v>
      </c>
      <c r="K66" s="11">
        <v>-7.0478554E7</v>
      </c>
      <c r="L66" s="10">
        <f t="shared" si="1"/>
        <v>50729596</v>
      </c>
      <c r="M66" s="12">
        <f>IFERROR(__xludf.DUMMYFUNCTION("+N66/L66"),1.0)</f>
        <v>1</v>
      </c>
      <c r="N66" s="13">
        <v>5.0729596E7</v>
      </c>
      <c r="O66" s="13">
        <f t="shared" si="2"/>
        <v>0</v>
      </c>
      <c r="P66" s="8" t="s">
        <v>384</v>
      </c>
      <c r="Q66" s="8">
        <v>7625.0</v>
      </c>
      <c r="R66" s="8">
        <v>7025.0</v>
      </c>
      <c r="S66" s="14">
        <v>45673.0</v>
      </c>
      <c r="T66" s="15"/>
      <c r="U66" s="14">
        <v>45674.0</v>
      </c>
      <c r="V66" s="8"/>
      <c r="W66" s="8">
        <v>348.0</v>
      </c>
      <c r="X66" s="8">
        <f t="shared" si="3"/>
        <v>348</v>
      </c>
      <c r="Y66" s="8">
        <v>53.44827586</v>
      </c>
      <c r="Z66" s="17">
        <f>VLOOKUP(F66,RANGOFECHAFINAL,25,FALSE)</f>
        <v>46022</v>
      </c>
      <c r="AA66" s="8" t="s">
        <v>389</v>
      </c>
      <c r="AB66" s="8" t="s">
        <v>390</v>
      </c>
      <c r="AC66" s="8" t="s">
        <v>72</v>
      </c>
      <c r="AD66" s="7"/>
    </row>
    <row r="67">
      <c r="A67" s="7">
        <v>62.0</v>
      </c>
      <c r="B67" s="7" t="s">
        <v>30</v>
      </c>
      <c r="C67" s="7" t="s">
        <v>391</v>
      </c>
      <c r="D67" s="7" t="s">
        <v>32</v>
      </c>
      <c r="E67" s="8" t="s">
        <v>33</v>
      </c>
      <c r="F67" s="8" t="s">
        <v>392</v>
      </c>
      <c r="G67" s="9" t="s">
        <v>393</v>
      </c>
      <c r="H67" s="8" t="s">
        <v>394</v>
      </c>
      <c r="I67" s="8">
        <v>7.9448382E7</v>
      </c>
      <c r="J67" s="10">
        <v>8.1E7</v>
      </c>
      <c r="K67" s="11"/>
      <c r="L67" s="10">
        <f t="shared" si="1"/>
        <v>81000000</v>
      </c>
      <c r="M67" s="12">
        <f>IFERROR(__xludf.DUMMYFUNCTION("+N67/L67"),0.6111111111111112)</f>
        <v>0.6111111111</v>
      </c>
      <c r="N67" s="13">
        <v>4.95E7</v>
      </c>
      <c r="O67" s="13">
        <f t="shared" si="2"/>
        <v>31500000</v>
      </c>
      <c r="P67" s="8" t="s">
        <v>47</v>
      </c>
      <c r="Q67" s="8">
        <v>4725.0</v>
      </c>
      <c r="R67" s="8">
        <v>6525.0</v>
      </c>
      <c r="S67" s="14">
        <v>45672.0</v>
      </c>
      <c r="T67" s="15"/>
      <c r="U67" s="14">
        <v>45673.0</v>
      </c>
      <c r="V67" s="8"/>
      <c r="W67" s="8">
        <v>272.0</v>
      </c>
      <c r="X67" s="8">
        <f t="shared" si="3"/>
        <v>272</v>
      </c>
      <c r="Y67" s="8">
        <v>68.75</v>
      </c>
      <c r="Z67" s="17">
        <f>VLOOKUP(F67,RANGOFECHAFINAL,25,FALSE)</f>
        <v>45945</v>
      </c>
      <c r="AA67" s="8" t="s">
        <v>307</v>
      </c>
      <c r="AB67" s="8" t="s">
        <v>308</v>
      </c>
      <c r="AC67" s="8" t="s">
        <v>42</v>
      </c>
      <c r="AD67" s="7"/>
    </row>
    <row r="68">
      <c r="A68" s="7">
        <v>63.0</v>
      </c>
      <c r="B68" s="7" t="s">
        <v>30</v>
      </c>
      <c r="C68" s="7" t="s">
        <v>395</v>
      </c>
      <c r="D68" s="7" t="s">
        <v>32</v>
      </c>
      <c r="E68" s="8" t="s">
        <v>33</v>
      </c>
      <c r="F68" s="8" t="s">
        <v>396</v>
      </c>
      <c r="G68" s="9" t="s">
        <v>397</v>
      </c>
      <c r="H68" s="8" t="s">
        <v>398</v>
      </c>
      <c r="I68" s="8" t="s">
        <v>399</v>
      </c>
      <c r="J68" s="10">
        <v>9.0933329E7</v>
      </c>
      <c r="K68" s="11"/>
      <c r="L68" s="10">
        <f t="shared" si="1"/>
        <v>90933329</v>
      </c>
      <c r="M68" s="12">
        <f>IFERROR(__xludf.DUMMYFUNCTION("+N68/L68"),0.4782608695652174)</f>
        <v>0.4782608696</v>
      </c>
      <c r="N68" s="13">
        <v>4.3489853E7</v>
      </c>
      <c r="O68" s="13">
        <f t="shared" si="2"/>
        <v>47443476</v>
      </c>
      <c r="P68" s="8" t="s">
        <v>145</v>
      </c>
      <c r="Q68" s="8">
        <v>6425.0</v>
      </c>
      <c r="R68" s="8">
        <v>6425.0</v>
      </c>
      <c r="S68" s="14">
        <v>45672.0</v>
      </c>
      <c r="T68" s="15"/>
      <c r="U68" s="14">
        <v>45673.0</v>
      </c>
      <c r="V68" s="8"/>
      <c r="W68" s="8">
        <v>349.0</v>
      </c>
      <c r="X68" s="8">
        <f t="shared" si="3"/>
        <v>349</v>
      </c>
      <c r="Y68" s="8">
        <v>53.58166189</v>
      </c>
      <c r="Z68" s="17">
        <f>VLOOKUP(F68,RANGOFECHAFINAL,25,FALSE)</f>
        <v>46022</v>
      </c>
      <c r="AA68" s="8" t="s">
        <v>400</v>
      </c>
      <c r="AB68" s="8" t="s">
        <v>41</v>
      </c>
      <c r="AC68" s="8" t="s">
        <v>42</v>
      </c>
      <c r="AD68" s="7"/>
    </row>
    <row r="69">
      <c r="A69" s="7">
        <v>64.0</v>
      </c>
      <c r="B69" s="7" t="s">
        <v>30</v>
      </c>
      <c r="C69" s="7" t="s">
        <v>401</v>
      </c>
      <c r="D69" s="7" t="s">
        <v>32</v>
      </c>
      <c r="E69" s="8" t="s">
        <v>33</v>
      </c>
      <c r="F69" s="8" t="s">
        <v>402</v>
      </c>
      <c r="G69" s="9" t="s">
        <v>403</v>
      </c>
      <c r="H69" s="8" t="s">
        <v>404</v>
      </c>
      <c r="I69" s="8">
        <v>1.090383442E9</v>
      </c>
      <c r="J69" s="10">
        <v>6.29395E7</v>
      </c>
      <c r="K69" s="11">
        <v>-182433.0</v>
      </c>
      <c r="L69" s="10">
        <f t="shared" si="1"/>
        <v>62757067</v>
      </c>
      <c r="M69" s="12">
        <f>IFERROR(__xludf.DUMMYFUNCTION("+N69/L69"),0.47674418882577796)</f>
        <v>0.4767441888</v>
      </c>
      <c r="N69" s="13">
        <v>2.9919067E7</v>
      </c>
      <c r="O69" s="13">
        <f t="shared" si="2"/>
        <v>32838000</v>
      </c>
      <c r="P69" s="8" t="s">
        <v>228</v>
      </c>
      <c r="Q69" s="8">
        <v>10115.0</v>
      </c>
      <c r="R69" s="8">
        <v>7425.0</v>
      </c>
      <c r="S69" s="14">
        <v>45673.0</v>
      </c>
      <c r="T69" s="15"/>
      <c r="U69" s="14">
        <v>45674.0</v>
      </c>
      <c r="V69" s="8"/>
      <c r="W69" s="8">
        <v>348.0</v>
      </c>
      <c r="X69" s="8">
        <f t="shared" si="3"/>
        <v>348</v>
      </c>
      <c r="Y69" s="8">
        <v>53.44827586</v>
      </c>
      <c r="Z69" s="17">
        <f>VLOOKUP(F69,RANGOFECHAFINAL,25,FALSE)</f>
        <v>46022</v>
      </c>
      <c r="AA69" s="8" t="s">
        <v>405</v>
      </c>
      <c r="AB69" s="8" t="s">
        <v>223</v>
      </c>
      <c r="AC69" s="8" t="s">
        <v>42</v>
      </c>
      <c r="AD69" s="7"/>
    </row>
    <row r="70">
      <c r="A70" s="7">
        <v>65.0</v>
      </c>
      <c r="B70" s="7" t="s">
        <v>30</v>
      </c>
      <c r="C70" s="7" t="s">
        <v>406</v>
      </c>
      <c r="D70" s="7" t="s">
        <v>32</v>
      </c>
      <c r="E70" s="8" t="s">
        <v>33</v>
      </c>
      <c r="F70" s="8" t="s">
        <v>407</v>
      </c>
      <c r="G70" s="9" t="s">
        <v>408</v>
      </c>
      <c r="H70" s="8" t="s">
        <v>409</v>
      </c>
      <c r="I70" s="8">
        <v>1.032504965E9</v>
      </c>
      <c r="J70" s="10">
        <v>4.861395E7</v>
      </c>
      <c r="K70" s="11">
        <v>-140910.0</v>
      </c>
      <c r="L70" s="10">
        <f t="shared" si="1"/>
        <v>48473040</v>
      </c>
      <c r="M70" s="12">
        <f>IFERROR(__xludf.DUMMYFUNCTION("+N70/L70"),0.47674418604651164)</f>
        <v>0.476744186</v>
      </c>
      <c r="N70" s="13">
        <v>2.310924E7</v>
      </c>
      <c r="O70" s="13">
        <f t="shared" si="2"/>
        <v>25363800</v>
      </c>
      <c r="P70" s="8" t="s">
        <v>77</v>
      </c>
      <c r="Q70" s="8">
        <v>4425.0</v>
      </c>
      <c r="R70" s="8">
        <v>7325.0</v>
      </c>
      <c r="S70" s="14">
        <v>45673.0</v>
      </c>
      <c r="T70" s="15"/>
      <c r="U70" s="14">
        <v>45674.0</v>
      </c>
      <c r="V70" s="8"/>
      <c r="W70" s="8">
        <v>348.0</v>
      </c>
      <c r="X70" s="8">
        <f t="shared" si="3"/>
        <v>348</v>
      </c>
      <c r="Y70" s="8">
        <v>53.44827586</v>
      </c>
      <c r="Z70" s="17">
        <f>VLOOKUP(F70,RANGOFECHAFINAL,25,FALSE)</f>
        <v>46022</v>
      </c>
      <c r="AA70" s="8" t="s">
        <v>410</v>
      </c>
      <c r="AB70" s="8" t="s">
        <v>100</v>
      </c>
      <c r="AC70" s="8" t="s">
        <v>42</v>
      </c>
      <c r="AD70" s="7"/>
    </row>
    <row r="71">
      <c r="A71" s="7">
        <v>66.0</v>
      </c>
      <c r="B71" s="7" t="s">
        <v>30</v>
      </c>
      <c r="C71" s="7" t="s">
        <v>411</v>
      </c>
      <c r="D71" s="7" t="s">
        <v>32</v>
      </c>
      <c r="E71" s="8" t="s">
        <v>33</v>
      </c>
      <c r="F71" s="8" t="s">
        <v>412</v>
      </c>
      <c r="G71" s="9" t="s">
        <v>413</v>
      </c>
      <c r="H71" s="8" t="s">
        <v>414</v>
      </c>
      <c r="I71" s="8">
        <v>1.020804167E9</v>
      </c>
      <c r="J71" s="10">
        <v>1.140975E8</v>
      </c>
      <c r="K71" s="11"/>
      <c r="L71" s="10">
        <f t="shared" si="1"/>
        <v>114097500</v>
      </c>
      <c r="M71" s="12">
        <f>IFERROR(__xludf.DUMMYFUNCTION("+N71/L71"),0.46378807598764216)</f>
        <v>0.463788076</v>
      </c>
      <c r="N71" s="13">
        <v>5.291706E7</v>
      </c>
      <c r="O71" s="13">
        <f t="shared" si="2"/>
        <v>61180440</v>
      </c>
      <c r="P71" s="8" t="s">
        <v>415</v>
      </c>
      <c r="Q71" s="8">
        <v>10225.0</v>
      </c>
      <c r="R71" s="8">
        <v>6925.0</v>
      </c>
      <c r="S71" s="14">
        <v>45673.0</v>
      </c>
      <c r="T71" s="15"/>
      <c r="U71" s="14">
        <v>45674.0</v>
      </c>
      <c r="V71" s="8"/>
      <c r="W71" s="8">
        <v>339.0</v>
      </c>
      <c r="X71" s="8">
        <f t="shared" si="3"/>
        <v>339</v>
      </c>
      <c r="Y71" s="8">
        <v>54.86725664</v>
      </c>
      <c r="Z71" s="17">
        <f>VLOOKUP(F71,RANGOFECHAFINAL,25,FALSE)</f>
        <v>46013</v>
      </c>
      <c r="AA71" s="8" t="s">
        <v>289</v>
      </c>
      <c r="AB71" s="8" t="s">
        <v>165</v>
      </c>
      <c r="AC71" s="8" t="s">
        <v>42</v>
      </c>
      <c r="AD71" s="7"/>
    </row>
    <row r="72">
      <c r="A72" s="7">
        <v>67.0</v>
      </c>
      <c r="B72" s="7" t="s">
        <v>30</v>
      </c>
      <c r="C72" s="7" t="s">
        <v>416</v>
      </c>
      <c r="D72" s="7" t="s">
        <v>32</v>
      </c>
      <c r="E72" s="8" t="s">
        <v>33</v>
      </c>
      <c r="F72" s="8" t="s">
        <v>417</v>
      </c>
      <c r="G72" s="9" t="s">
        <v>418</v>
      </c>
      <c r="H72" s="8" t="s">
        <v>419</v>
      </c>
      <c r="I72" s="8">
        <v>1.05382899E9</v>
      </c>
      <c r="J72" s="10">
        <v>1.40916056E8</v>
      </c>
      <c r="K72" s="11">
        <v>4194811.0</v>
      </c>
      <c r="L72" s="10">
        <f t="shared" si="1"/>
        <v>145110867</v>
      </c>
      <c r="M72" s="12">
        <f>IFERROR(__xludf.DUMMYFUNCTION("+N72/L72"),0.47297792659456717)</f>
        <v>0.4729779266</v>
      </c>
      <c r="N72" s="13">
        <v>6.8634237E7</v>
      </c>
      <c r="O72" s="13">
        <f t="shared" si="2"/>
        <v>76476630</v>
      </c>
      <c r="P72" s="8" t="s">
        <v>420</v>
      </c>
      <c r="Q72" s="8">
        <v>10025.0</v>
      </c>
      <c r="R72" s="8">
        <v>9425.0</v>
      </c>
      <c r="S72" s="14">
        <v>45674.0</v>
      </c>
      <c r="T72" s="15"/>
      <c r="U72" s="14">
        <v>45678.0</v>
      </c>
      <c r="V72" s="8">
        <v>3.0</v>
      </c>
      <c r="W72" s="8">
        <v>340.0</v>
      </c>
      <c r="X72" s="8">
        <f t="shared" si="3"/>
        <v>343</v>
      </c>
      <c r="Y72" s="8">
        <v>52.90697674</v>
      </c>
      <c r="Z72" s="17">
        <f>VLOOKUP(F72,RANGOFECHAFINAL,25,FALSE)</f>
        <v>46022</v>
      </c>
      <c r="AA72" s="8" t="s">
        <v>421</v>
      </c>
      <c r="AB72" s="8" t="s">
        <v>182</v>
      </c>
      <c r="AC72" s="8" t="s">
        <v>42</v>
      </c>
      <c r="AD72" s="7"/>
    </row>
    <row r="73">
      <c r="A73" s="7">
        <v>68.0</v>
      </c>
      <c r="B73" s="7" t="s">
        <v>422</v>
      </c>
      <c r="C73" s="7" t="s">
        <v>423</v>
      </c>
      <c r="D73" s="7" t="s">
        <v>32</v>
      </c>
      <c r="E73" s="8" t="s">
        <v>33</v>
      </c>
      <c r="F73" s="8" t="s">
        <v>424</v>
      </c>
      <c r="G73" s="9" t="s">
        <v>425</v>
      </c>
      <c r="H73" s="8" t="s">
        <v>426</v>
      </c>
      <c r="I73" s="8">
        <v>1.020786621E9</v>
      </c>
      <c r="J73" s="10">
        <v>9.2E7</v>
      </c>
      <c r="K73" s="11">
        <v>-1066667.0</v>
      </c>
      <c r="L73" s="10">
        <f t="shared" si="1"/>
        <v>90933333</v>
      </c>
      <c r="M73" s="12">
        <f>IFERROR(__xludf.DUMMYFUNCTION("+N73/L73"),0.4721407605283752)</f>
        <v>0.4721407605</v>
      </c>
      <c r="N73" s="13">
        <v>4.2933333E7</v>
      </c>
      <c r="O73" s="13">
        <f t="shared" si="2"/>
        <v>48000000</v>
      </c>
      <c r="P73" s="8" t="s">
        <v>427</v>
      </c>
      <c r="Q73" s="8">
        <v>9325.0</v>
      </c>
      <c r="R73" s="8">
        <v>7825.0</v>
      </c>
      <c r="S73" s="14">
        <v>45673.0</v>
      </c>
      <c r="T73" s="15"/>
      <c r="U73" s="14">
        <v>45677.0</v>
      </c>
      <c r="V73" s="8"/>
      <c r="W73" s="8">
        <v>345.0</v>
      </c>
      <c r="X73" s="8">
        <f t="shared" si="3"/>
        <v>345</v>
      </c>
      <c r="Y73" s="8">
        <v>53.04347826</v>
      </c>
      <c r="Z73" s="17">
        <f>VLOOKUP(F73,RANGOFECHAFINAL,25,FALSE)</f>
        <v>46022</v>
      </c>
      <c r="AA73" s="8" t="s">
        <v>428</v>
      </c>
      <c r="AB73" s="8" t="s">
        <v>128</v>
      </c>
      <c r="AC73" s="8" t="s">
        <v>42</v>
      </c>
      <c r="AD73" s="7"/>
    </row>
    <row r="74">
      <c r="A74" s="7">
        <v>69.0</v>
      </c>
      <c r="B74" s="7" t="s">
        <v>422</v>
      </c>
      <c r="C74" s="7" t="s">
        <v>429</v>
      </c>
      <c r="D74" s="7" t="s">
        <v>32</v>
      </c>
      <c r="E74" s="8" t="s">
        <v>33</v>
      </c>
      <c r="F74" s="8" t="s">
        <v>430</v>
      </c>
      <c r="G74" s="9" t="s">
        <v>431</v>
      </c>
      <c r="H74" s="8" t="s">
        <v>432</v>
      </c>
      <c r="I74" s="8">
        <v>1.065837239E9</v>
      </c>
      <c r="J74" s="10">
        <v>7.475E7</v>
      </c>
      <c r="K74" s="11">
        <v>-866667.0</v>
      </c>
      <c r="L74" s="10">
        <f t="shared" si="1"/>
        <v>73883333</v>
      </c>
      <c r="M74" s="12">
        <f>IFERROR(__xludf.DUMMYFUNCTION("+N74/L74"),0.4721407600818442)</f>
        <v>0.4721407601</v>
      </c>
      <c r="N74" s="13">
        <v>3.4883333E7</v>
      </c>
      <c r="O74" s="13">
        <f t="shared" si="2"/>
        <v>39000000</v>
      </c>
      <c r="P74" s="8" t="s">
        <v>367</v>
      </c>
      <c r="Q74" s="8">
        <v>1625.0</v>
      </c>
      <c r="R74" s="8">
        <v>7925.0</v>
      </c>
      <c r="S74" s="14">
        <v>45673.0</v>
      </c>
      <c r="T74" s="15"/>
      <c r="U74" s="14">
        <v>45677.0</v>
      </c>
      <c r="V74" s="8"/>
      <c r="W74" s="8">
        <v>345.0</v>
      </c>
      <c r="X74" s="8">
        <f t="shared" si="3"/>
        <v>345</v>
      </c>
      <c r="Y74" s="8">
        <v>53.04347826</v>
      </c>
      <c r="Z74" s="17">
        <f>VLOOKUP(F74,RANGOFECHAFINAL,25,FALSE)</f>
        <v>46022</v>
      </c>
      <c r="AA74" s="8" t="s">
        <v>433</v>
      </c>
      <c r="AB74" s="8" t="s">
        <v>223</v>
      </c>
      <c r="AC74" s="8" t="s">
        <v>42</v>
      </c>
      <c r="AD74" s="7"/>
    </row>
    <row r="75">
      <c r="A75" s="7">
        <v>70.0</v>
      </c>
      <c r="B75" s="7" t="s">
        <v>30</v>
      </c>
      <c r="C75" s="7" t="s">
        <v>434</v>
      </c>
      <c r="D75" s="7" t="s">
        <v>32</v>
      </c>
      <c r="E75" s="8" t="s">
        <v>33</v>
      </c>
      <c r="F75" s="8" t="s">
        <v>435</v>
      </c>
      <c r="G75" s="9" t="s">
        <v>436</v>
      </c>
      <c r="H75" s="8" t="s">
        <v>437</v>
      </c>
      <c r="I75" s="8">
        <v>1.022406922E9</v>
      </c>
      <c r="J75" s="10">
        <v>5.9566867E7</v>
      </c>
      <c r="K75" s="11"/>
      <c r="L75" s="10">
        <f t="shared" si="1"/>
        <v>59566867</v>
      </c>
      <c r="M75" s="12">
        <f>IFERROR(__xludf.DUMMYFUNCTION("+N75/L75"),0.5176848901588194)</f>
        <v>0.5176848902</v>
      </c>
      <c r="N75" s="13">
        <v>3.0836867E7</v>
      </c>
      <c r="O75" s="13">
        <f t="shared" si="2"/>
        <v>28730000</v>
      </c>
      <c r="P75" s="8" t="s">
        <v>91</v>
      </c>
      <c r="Q75" s="8">
        <v>9725.0</v>
      </c>
      <c r="R75" s="8">
        <v>8025.0</v>
      </c>
      <c r="S75" s="14">
        <v>45673.0</v>
      </c>
      <c r="T75" s="15"/>
      <c r="U75" s="14">
        <v>45677.0</v>
      </c>
      <c r="V75" s="8"/>
      <c r="W75" s="8">
        <v>314.0</v>
      </c>
      <c r="X75" s="8">
        <f t="shared" si="3"/>
        <v>314</v>
      </c>
      <c r="Y75" s="8">
        <v>58.28025478</v>
      </c>
      <c r="Z75" s="23">
        <v>45991.0</v>
      </c>
      <c r="AA75" s="8" t="s">
        <v>438</v>
      </c>
      <c r="AB75" s="8" t="s">
        <v>134</v>
      </c>
      <c r="AC75" s="8" t="s">
        <v>42</v>
      </c>
      <c r="AD75" s="7"/>
    </row>
    <row r="76">
      <c r="A76" s="7">
        <v>71.0</v>
      </c>
      <c r="B76" s="7" t="s">
        <v>30</v>
      </c>
      <c r="C76" s="7" t="s">
        <v>439</v>
      </c>
      <c r="D76" s="7" t="s">
        <v>32</v>
      </c>
      <c r="E76" s="8" t="s">
        <v>33</v>
      </c>
      <c r="F76" s="8" t="s">
        <v>440</v>
      </c>
      <c r="G76" s="9" t="s">
        <v>441</v>
      </c>
      <c r="H76" s="8" t="s">
        <v>442</v>
      </c>
      <c r="I76" s="8">
        <v>5.2354579E7</v>
      </c>
      <c r="J76" s="10">
        <v>4.95E7</v>
      </c>
      <c r="K76" s="11"/>
      <c r="L76" s="10">
        <f t="shared" si="1"/>
        <v>49500000</v>
      </c>
      <c r="M76" s="12">
        <f>IFERROR(__xludf.DUMMYFUNCTION("+N76/L76"),0.48787878787878786)</f>
        <v>0.4878787879</v>
      </c>
      <c r="N76" s="13">
        <v>2.415E7</v>
      </c>
      <c r="O76" s="13">
        <f t="shared" si="2"/>
        <v>25350000</v>
      </c>
      <c r="P76" s="8" t="s">
        <v>62</v>
      </c>
      <c r="Q76" s="8">
        <v>5425.0</v>
      </c>
      <c r="R76" s="8">
        <v>8425.0</v>
      </c>
      <c r="S76" s="14">
        <v>45674.0</v>
      </c>
      <c r="T76" s="15"/>
      <c r="U76" s="14">
        <v>45677.0</v>
      </c>
      <c r="V76" s="8"/>
      <c r="W76" s="8">
        <v>333.0</v>
      </c>
      <c r="X76" s="8">
        <f t="shared" si="3"/>
        <v>333</v>
      </c>
      <c r="Y76" s="8">
        <v>54.95495495</v>
      </c>
      <c r="Z76" s="17">
        <f>VLOOKUP(F76,RANGOFECHAFINAL,25,FALSE)</f>
        <v>46010</v>
      </c>
      <c r="AA76" s="8" t="s">
        <v>192</v>
      </c>
      <c r="AB76" s="8" t="s">
        <v>193</v>
      </c>
      <c r="AC76" s="8" t="s">
        <v>42</v>
      </c>
      <c r="AD76" s="7"/>
    </row>
    <row r="77">
      <c r="A77" s="7">
        <v>72.0</v>
      </c>
      <c r="B77" s="7" t="s">
        <v>30</v>
      </c>
      <c r="C77" s="7" t="s">
        <v>443</v>
      </c>
      <c r="D77" s="7" t="s">
        <v>32</v>
      </c>
      <c r="E77" s="8" t="s">
        <v>33</v>
      </c>
      <c r="F77" s="8" t="s">
        <v>444</v>
      </c>
      <c r="G77" s="9" t="s">
        <v>445</v>
      </c>
      <c r="H77" s="8" t="s">
        <v>446</v>
      </c>
      <c r="I77" s="8">
        <v>1.2129602E7</v>
      </c>
      <c r="J77" s="10">
        <v>8.46E7</v>
      </c>
      <c r="K77" s="11"/>
      <c r="L77" s="10">
        <f t="shared" si="1"/>
        <v>84600000</v>
      </c>
      <c r="M77" s="12">
        <f>IFERROR(__xludf.DUMMYFUNCTION("+N77/L77"),0.6708333333333333)</f>
        <v>0.6708333333</v>
      </c>
      <c r="N77" s="13">
        <v>5.67525E7</v>
      </c>
      <c r="O77" s="13">
        <f t="shared" si="2"/>
        <v>27847500</v>
      </c>
      <c r="P77" s="8" t="s">
        <v>197</v>
      </c>
      <c r="Q77" s="8">
        <v>5625.0</v>
      </c>
      <c r="R77" s="8">
        <v>7625.0</v>
      </c>
      <c r="S77" s="14">
        <v>45673.0</v>
      </c>
      <c r="T77" s="15"/>
      <c r="U77" s="14">
        <v>45677.0</v>
      </c>
      <c r="V77" s="8"/>
      <c r="W77" s="8">
        <v>242.0</v>
      </c>
      <c r="X77" s="8">
        <f t="shared" si="3"/>
        <v>242</v>
      </c>
      <c r="Y77" s="8">
        <v>75.61983471</v>
      </c>
      <c r="Z77" s="17">
        <f>VLOOKUP(F77,RANGOFECHAFINAL,25,FALSE)</f>
        <v>45919</v>
      </c>
      <c r="AA77" s="8" t="s">
        <v>447</v>
      </c>
      <c r="AB77" s="8" t="s">
        <v>263</v>
      </c>
      <c r="AC77" s="8" t="s">
        <v>42</v>
      </c>
      <c r="AD77" s="7"/>
    </row>
    <row r="78">
      <c r="A78" s="7">
        <v>73.0</v>
      </c>
      <c r="B78" s="7" t="s">
        <v>30</v>
      </c>
      <c r="C78" s="7" t="s">
        <v>448</v>
      </c>
      <c r="D78" s="7" t="s">
        <v>32</v>
      </c>
      <c r="E78" s="8" t="s">
        <v>33</v>
      </c>
      <c r="F78" s="8" t="s">
        <v>449</v>
      </c>
      <c r="G78" s="9" t="s">
        <v>450</v>
      </c>
      <c r="H78" s="8" t="s">
        <v>451</v>
      </c>
      <c r="I78" s="8">
        <v>4.209482E7</v>
      </c>
      <c r="J78" s="10">
        <v>2.99915E7</v>
      </c>
      <c r="K78" s="11">
        <v>2.3707567E7</v>
      </c>
      <c r="L78" s="10">
        <f t="shared" si="1"/>
        <v>53699067</v>
      </c>
      <c r="M78" s="12">
        <f>IFERROR(__xludf.DUMMYFUNCTION("+N78/L78"),0.8404255329054413)</f>
        <v>0.8404255329</v>
      </c>
      <c r="N78" s="13">
        <v>4.5130067E7</v>
      </c>
      <c r="O78" s="13">
        <f t="shared" si="2"/>
        <v>8569000</v>
      </c>
      <c r="P78" s="8" t="s">
        <v>228</v>
      </c>
      <c r="Q78" s="8">
        <v>10425.0</v>
      </c>
      <c r="R78" s="8">
        <v>8825.0</v>
      </c>
      <c r="S78" s="14">
        <v>45674.0</v>
      </c>
      <c r="T78" s="15"/>
      <c r="U78" s="14">
        <v>45680.0</v>
      </c>
      <c r="V78" s="8">
        <v>90.0</v>
      </c>
      <c r="W78" s="8">
        <v>104.0</v>
      </c>
      <c r="X78" s="8">
        <f t="shared" si="3"/>
        <v>194</v>
      </c>
      <c r="Y78" s="8">
        <v>95.23809524</v>
      </c>
      <c r="Z78" s="23">
        <v>45869.0</v>
      </c>
      <c r="AA78" s="8" t="s">
        <v>452</v>
      </c>
      <c r="AB78" s="8" t="s">
        <v>453</v>
      </c>
      <c r="AC78" s="8" t="s">
        <v>42</v>
      </c>
      <c r="AD78" s="7"/>
    </row>
    <row r="79">
      <c r="A79" s="7">
        <v>74.0</v>
      </c>
      <c r="B79" s="7" t="s">
        <v>30</v>
      </c>
      <c r="C79" s="7" t="s">
        <v>454</v>
      </c>
      <c r="D79" s="7" t="s">
        <v>32</v>
      </c>
      <c r="E79" s="8" t="s">
        <v>33</v>
      </c>
      <c r="F79" s="8" t="s">
        <v>455</v>
      </c>
      <c r="G79" s="9" t="s">
        <v>456</v>
      </c>
      <c r="H79" s="8" t="s">
        <v>457</v>
      </c>
      <c r="I79" s="8" t="s">
        <v>458</v>
      </c>
      <c r="J79" s="10">
        <v>2.0755E7</v>
      </c>
      <c r="K79" s="11">
        <v>1.6999333E7</v>
      </c>
      <c r="L79" s="10">
        <f t="shared" si="1"/>
        <v>37754333</v>
      </c>
      <c r="M79" s="12">
        <f>IFERROR(__xludf.DUMMYFUNCTION("+N79/L79"),0.8429319357860195)</f>
        <v>0.8429319358</v>
      </c>
      <c r="N79" s="13">
        <v>3.1824333E7</v>
      </c>
      <c r="O79" s="13">
        <f t="shared" si="2"/>
        <v>5930000</v>
      </c>
      <c r="P79" s="8" t="s">
        <v>228</v>
      </c>
      <c r="Q79" s="8">
        <v>10525.0</v>
      </c>
      <c r="R79" s="8">
        <v>8725.0</v>
      </c>
      <c r="S79" s="14">
        <v>45674.0</v>
      </c>
      <c r="T79" s="15"/>
      <c r="U79" s="14">
        <v>45677.0</v>
      </c>
      <c r="V79" s="8">
        <v>90.0</v>
      </c>
      <c r="W79" s="8">
        <v>104.0</v>
      </c>
      <c r="X79" s="8">
        <f t="shared" si="3"/>
        <v>194</v>
      </c>
      <c r="Y79" s="8">
        <v>95.3125</v>
      </c>
      <c r="Z79" s="23">
        <v>45869.0</v>
      </c>
      <c r="AA79" s="8" t="s">
        <v>459</v>
      </c>
      <c r="AB79" s="8" t="s">
        <v>453</v>
      </c>
      <c r="AC79" s="8" t="s">
        <v>42</v>
      </c>
      <c r="AD79" s="7"/>
    </row>
    <row r="80">
      <c r="A80" s="7">
        <v>75.0</v>
      </c>
      <c r="B80" s="7" t="s">
        <v>30</v>
      </c>
      <c r="C80" s="7" t="s">
        <v>460</v>
      </c>
      <c r="D80" s="7" t="s">
        <v>32</v>
      </c>
      <c r="E80" s="8" t="s">
        <v>33</v>
      </c>
      <c r="F80" s="8" t="s">
        <v>461</v>
      </c>
      <c r="G80" s="9" t="s">
        <v>462</v>
      </c>
      <c r="H80" s="8" t="s">
        <v>463</v>
      </c>
      <c r="I80" s="8">
        <v>9.323712E7</v>
      </c>
      <c r="J80" s="10">
        <v>8.0E7</v>
      </c>
      <c r="K80" s="11"/>
      <c r="L80" s="10">
        <f t="shared" si="1"/>
        <v>80000000</v>
      </c>
      <c r="M80" s="12">
        <f>IFERROR(__xludf.DUMMYFUNCTION("+N80/L80"),0.5333333375)</f>
        <v>0.5333333375</v>
      </c>
      <c r="N80" s="13">
        <v>4.2666667E7</v>
      </c>
      <c r="O80" s="13">
        <f t="shared" si="2"/>
        <v>37333333</v>
      </c>
      <c r="P80" s="8" t="s">
        <v>62</v>
      </c>
      <c r="Q80" s="8">
        <v>5325.0</v>
      </c>
      <c r="R80" s="8">
        <v>9325.0</v>
      </c>
      <c r="S80" s="14">
        <v>45677.0</v>
      </c>
      <c r="T80" s="15"/>
      <c r="U80" s="14">
        <v>45678.0</v>
      </c>
      <c r="V80" s="8"/>
      <c r="W80" s="8">
        <v>303.0</v>
      </c>
      <c r="X80" s="8">
        <f t="shared" si="3"/>
        <v>303</v>
      </c>
      <c r="Y80" s="8">
        <v>60.0660066</v>
      </c>
      <c r="Z80" s="17">
        <f>VLOOKUP(F80,RANGOFECHAFINAL,25,FALSE)</f>
        <v>45981</v>
      </c>
      <c r="AA80" s="8" t="s">
        <v>447</v>
      </c>
      <c r="AB80" s="8" t="s">
        <v>263</v>
      </c>
      <c r="AC80" s="8" t="s">
        <v>42</v>
      </c>
      <c r="AD80" s="7"/>
    </row>
    <row r="81">
      <c r="A81" s="7">
        <v>76.0</v>
      </c>
      <c r="B81" s="7" t="s">
        <v>30</v>
      </c>
      <c r="C81" s="7" t="s">
        <v>464</v>
      </c>
      <c r="D81" s="7" t="s">
        <v>32</v>
      </c>
      <c r="E81" s="8" t="s">
        <v>33</v>
      </c>
      <c r="F81" s="8" t="s">
        <v>465</v>
      </c>
      <c r="G81" s="9" t="s">
        <v>466</v>
      </c>
      <c r="H81" s="8" t="s">
        <v>467</v>
      </c>
      <c r="I81" s="8">
        <v>1.015445697E9</v>
      </c>
      <c r="J81" s="10">
        <v>2.0755E7</v>
      </c>
      <c r="K81" s="11">
        <v>1.6999333E7</v>
      </c>
      <c r="L81" s="10">
        <f t="shared" si="1"/>
        <v>37754333</v>
      </c>
      <c r="M81" s="12">
        <f>IFERROR(__xludf.DUMMYFUNCTION("+N81/L81"),0.8429319357860195)</f>
        <v>0.8429319358</v>
      </c>
      <c r="N81" s="13">
        <v>3.1824333E7</v>
      </c>
      <c r="O81" s="13">
        <f t="shared" si="2"/>
        <v>5930000</v>
      </c>
      <c r="P81" s="8" t="s">
        <v>228</v>
      </c>
      <c r="Q81" s="8">
        <v>10725.0</v>
      </c>
      <c r="R81" s="8">
        <v>8325.0</v>
      </c>
      <c r="S81" s="14">
        <v>45674.0</v>
      </c>
      <c r="T81" s="15"/>
      <c r="U81" s="14">
        <v>45677.0</v>
      </c>
      <c r="V81" s="8">
        <v>90.0</v>
      </c>
      <c r="W81" s="8">
        <v>104.0</v>
      </c>
      <c r="X81" s="8">
        <f t="shared" si="3"/>
        <v>194</v>
      </c>
      <c r="Y81" s="8">
        <v>100.0</v>
      </c>
      <c r="Z81" s="17">
        <f>VLOOKUP(F81,RANGOFECHAFINAL,25,FALSE)</f>
        <v>45838</v>
      </c>
      <c r="AA81" s="8" t="s">
        <v>468</v>
      </c>
      <c r="AB81" s="8" t="s">
        <v>453</v>
      </c>
      <c r="AC81" s="8" t="s">
        <v>42</v>
      </c>
      <c r="AD81" s="7"/>
    </row>
    <row r="82">
      <c r="A82" s="7">
        <v>77.0</v>
      </c>
      <c r="B82" s="7" t="s">
        <v>30</v>
      </c>
      <c r="C82" s="7" t="s">
        <v>469</v>
      </c>
      <c r="D82" s="7" t="s">
        <v>32</v>
      </c>
      <c r="E82" s="8" t="s">
        <v>33</v>
      </c>
      <c r="F82" s="8" t="s">
        <v>470</v>
      </c>
      <c r="G82" s="9" t="s">
        <v>471</v>
      </c>
      <c r="H82" s="8" t="s">
        <v>472</v>
      </c>
      <c r="I82" s="8">
        <v>3.9683177E7</v>
      </c>
      <c r="J82" s="10">
        <v>9.775E7</v>
      </c>
      <c r="K82" s="11">
        <v>-1133333.0</v>
      </c>
      <c r="L82" s="10">
        <f t="shared" si="1"/>
        <v>96616667</v>
      </c>
      <c r="M82" s="12">
        <f>IFERROR(__xludf.DUMMYFUNCTION("+N82/L82"),0.3841642249985709)</f>
        <v>0.384164225</v>
      </c>
      <c r="N82" s="13">
        <v>3.7116667E7</v>
      </c>
      <c r="O82" s="13">
        <f t="shared" si="2"/>
        <v>59500000</v>
      </c>
      <c r="P82" s="8" t="s">
        <v>473</v>
      </c>
      <c r="Q82" s="8">
        <v>9925.0</v>
      </c>
      <c r="R82" s="8">
        <v>8525.0</v>
      </c>
      <c r="S82" s="14">
        <v>45674.0</v>
      </c>
      <c r="T82" s="15"/>
      <c r="U82" s="14">
        <v>45677.0</v>
      </c>
      <c r="V82" s="8"/>
      <c r="W82" s="8">
        <v>345.0</v>
      </c>
      <c r="X82" s="8">
        <f t="shared" si="3"/>
        <v>345</v>
      </c>
      <c r="Y82" s="8">
        <v>53.04347826</v>
      </c>
      <c r="Z82" s="17">
        <f>VLOOKUP(F82,RANGOFECHAFINAL,25,FALSE)</f>
        <v>46022</v>
      </c>
      <c r="AA82" s="8" t="s">
        <v>474</v>
      </c>
      <c r="AB82" s="8" t="s">
        <v>475</v>
      </c>
      <c r="AC82" s="8" t="s">
        <v>42</v>
      </c>
      <c r="AD82" s="7"/>
    </row>
    <row r="83">
      <c r="A83" s="7">
        <v>78.0</v>
      </c>
      <c r="B83" s="7" t="s">
        <v>30</v>
      </c>
      <c r="C83" s="7" t="s">
        <v>476</v>
      </c>
      <c r="D83" s="7" t="s">
        <v>32</v>
      </c>
      <c r="E83" s="8" t="s">
        <v>33</v>
      </c>
      <c r="F83" s="8" t="s">
        <v>477</v>
      </c>
      <c r="G83" s="9" t="s">
        <v>478</v>
      </c>
      <c r="H83" s="8" t="s">
        <v>479</v>
      </c>
      <c r="I83" s="8">
        <v>9528037.0</v>
      </c>
      <c r="J83" s="10">
        <v>2.4556E7</v>
      </c>
      <c r="K83" s="11">
        <v>2.0112533E7</v>
      </c>
      <c r="L83" s="10">
        <f t="shared" si="1"/>
        <v>44668533</v>
      </c>
      <c r="M83" s="12">
        <f>IFERROR(__xludf.DUMMYFUNCTION("+N83/L83"),0.8429319360006742)</f>
        <v>0.842931936</v>
      </c>
      <c r="N83" s="13">
        <v>3.7652533E7</v>
      </c>
      <c r="O83" s="13">
        <f t="shared" si="2"/>
        <v>7016000</v>
      </c>
      <c r="P83" s="8" t="s">
        <v>228</v>
      </c>
      <c r="Q83" s="8">
        <v>10325.0</v>
      </c>
      <c r="R83" s="8">
        <v>8625.0</v>
      </c>
      <c r="S83" s="14">
        <v>45674.0</v>
      </c>
      <c r="T83" s="15"/>
      <c r="U83" s="14">
        <v>45677.0</v>
      </c>
      <c r="V83" s="8">
        <v>90.0</v>
      </c>
      <c r="W83" s="8">
        <v>104.0</v>
      </c>
      <c r="X83" s="8">
        <f t="shared" si="3"/>
        <v>194</v>
      </c>
      <c r="Y83" s="8">
        <v>100.0</v>
      </c>
      <c r="Z83" s="17">
        <f>VLOOKUP(F83,RANGOFECHAFINAL,25,FALSE)</f>
        <v>45838</v>
      </c>
      <c r="AA83" s="8" t="s">
        <v>468</v>
      </c>
      <c r="AB83" s="8" t="s">
        <v>453</v>
      </c>
      <c r="AC83" s="8" t="s">
        <v>42</v>
      </c>
      <c r="AD83" s="7"/>
    </row>
    <row r="84">
      <c r="A84" s="7">
        <v>79.0</v>
      </c>
      <c r="B84" s="7" t="s">
        <v>30</v>
      </c>
      <c r="C84" s="7" t="s">
        <v>480</v>
      </c>
      <c r="D84" s="7" t="s">
        <v>32</v>
      </c>
      <c r="E84" s="8" t="s">
        <v>33</v>
      </c>
      <c r="F84" s="8" t="s">
        <v>481</v>
      </c>
      <c r="G84" s="9" t="s">
        <v>482</v>
      </c>
      <c r="H84" s="8" t="s">
        <v>483</v>
      </c>
      <c r="I84" s="8">
        <v>5.2811892E7</v>
      </c>
      <c r="J84" s="10">
        <v>9.775E7</v>
      </c>
      <c r="K84" s="11">
        <v>-1133333.0</v>
      </c>
      <c r="L84" s="10">
        <f t="shared" si="1"/>
        <v>96616667</v>
      </c>
      <c r="M84" s="12">
        <f>IFERROR(__xludf.DUMMYFUNCTION("+N84/L84"),0.47214076428448937)</f>
        <v>0.4721407643</v>
      </c>
      <c r="N84" s="13">
        <v>4.5616667E7</v>
      </c>
      <c r="O84" s="13">
        <f t="shared" si="2"/>
        <v>51000000</v>
      </c>
      <c r="P84" s="8" t="s">
        <v>484</v>
      </c>
      <c r="Q84" s="8">
        <v>9825.0</v>
      </c>
      <c r="R84" s="8">
        <v>8925.0</v>
      </c>
      <c r="S84" s="14">
        <v>45674.0</v>
      </c>
      <c r="T84" s="15"/>
      <c r="U84" s="14">
        <v>45677.0</v>
      </c>
      <c r="V84" s="8"/>
      <c r="W84" s="8">
        <v>345.0</v>
      </c>
      <c r="X84" s="8">
        <f t="shared" si="3"/>
        <v>345</v>
      </c>
      <c r="Y84" s="8">
        <v>53.04347826</v>
      </c>
      <c r="Z84" s="17">
        <v>46022.0</v>
      </c>
      <c r="AA84" s="8" t="s">
        <v>474</v>
      </c>
      <c r="AB84" s="8" t="s">
        <v>475</v>
      </c>
      <c r="AC84" s="8" t="s">
        <v>42</v>
      </c>
      <c r="AD84" s="7"/>
    </row>
    <row r="85">
      <c r="A85" s="7">
        <v>81.0</v>
      </c>
      <c r="B85" s="7" t="s">
        <v>30</v>
      </c>
      <c r="C85" s="7" t="s">
        <v>485</v>
      </c>
      <c r="D85" s="7" t="s">
        <v>32</v>
      </c>
      <c r="E85" s="8" t="s">
        <v>33</v>
      </c>
      <c r="F85" s="8" t="s">
        <v>486</v>
      </c>
      <c r="G85" s="9" t="s">
        <v>487</v>
      </c>
      <c r="H85" s="8" t="s">
        <v>488</v>
      </c>
      <c r="I85" s="8">
        <v>7.4130577E7</v>
      </c>
      <c r="J85" s="10">
        <v>9.85435E7</v>
      </c>
      <c r="K85" s="11">
        <v>-1428167.0</v>
      </c>
      <c r="L85" s="10">
        <f t="shared" si="1"/>
        <v>97115333</v>
      </c>
      <c r="M85" s="12">
        <f>IFERROR(__xludf.DUMMYFUNCTION("+N85/L85"),0.4705882334769938)</f>
        <v>0.4705882335</v>
      </c>
      <c r="N85" s="13">
        <v>4.5701333E7</v>
      </c>
      <c r="O85" s="13">
        <f t="shared" si="2"/>
        <v>51414000</v>
      </c>
      <c r="P85" s="8" t="s">
        <v>228</v>
      </c>
      <c r="Q85" s="8">
        <v>6725.0</v>
      </c>
      <c r="R85" s="8">
        <v>9525.0</v>
      </c>
      <c r="S85" s="14">
        <v>45677.0</v>
      </c>
      <c r="T85" s="15"/>
      <c r="U85" s="14">
        <v>45678.0</v>
      </c>
      <c r="V85" s="8"/>
      <c r="W85" s="8">
        <v>344.0</v>
      </c>
      <c r="X85" s="8">
        <f t="shared" si="3"/>
        <v>344</v>
      </c>
      <c r="Y85" s="8">
        <v>52.90697674</v>
      </c>
      <c r="Z85" s="17">
        <v>46022.0</v>
      </c>
      <c r="AA85" s="8" t="s">
        <v>489</v>
      </c>
      <c r="AB85" s="8" t="s">
        <v>453</v>
      </c>
      <c r="AC85" s="8" t="s">
        <v>42</v>
      </c>
      <c r="AD85" s="7"/>
    </row>
    <row r="86">
      <c r="A86" s="7">
        <v>82.0</v>
      </c>
      <c r="B86" s="7" t="s">
        <v>30</v>
      </c>
      <c r="C86" s="7" t="s">
        <v>490</v>
      </c>
      <c r="D86" s="7" t="s">
        <v>32</v>
      </c>
      <c r="E86" s="8" t="s">
        <v>491</v>
      </c>
      <c r="F86" s="8" t="s">
        <v>492</v>
      </c>
      <c r="G86" s="9" t="s">
        <v>493</v>
      </c>
      <c r="H86" s="8" t="s">
        <v>494</v>
      </c>
      <c r="I86" s="24">
        <v>8.30015429E8</v>
      </c>
      <c r="J86" s="10">
        <v>1.7292512E7</v>
      </c>
      <c r="K86" s="11"/>
      <c r="L86" s="10">
        <f t="shared" si="1"/>
        <v>17292512</v>
      </c>
      <c r="M86" s="12">
        <f>IFERROR(__xludf.DUMMYFUNCTION("+N86/L86"),0.06782132058083869)</f>
        <v>0.06782132058</v>
      </c>
      <c r="N86" s="13">
        <v>1172801.0</v>
      </c>
      <c r="O86" s="13">
        <f t="shared" si="2"/>
        <v>16119711</v>
      </c>
      <c r="P86" s="8" t="s">
        <v>495</v>
      </c>
      <c r="Q86" s="8">
        <v>7725.0</v>
      </c>
      <c r="R86" s="8">
        <v>9025.0</v>
      </c>
      <c r="S86" s="14">
        <v>45674.0</v>
      </c>
      <c r="T86" s="19">
        <v>45681.0</v>
      </c>
      <c r="U86" s="14">
        <v>45684.0</v>
      </c>
      <c r="V86" s="8"/>
      <c r="W86" s="8">
        <v>300.0</v>
      </c>
      <c r="X86" s="8">
        <f t="shared" si="3"/>
        <v>300</v>
      </c>
      <c r="Y86" s="8">
        <v>58.08580858</v>
      </c>
      <c r="Z86" s="17">
        <f>VLOOKUP(F86,RANGOFECHAFINAL,25,FALSE)</f>
        <v>45987</v>
      </c>
      <c r="AA86" s="8" t="s">
        <v>496</v>
      </c>
      <c r="AB86" s="8" t="s">
        <v>41</v>
      </c>
      <c r="AC86" s="8" t="s">
        <v>42</v>
      </c>
      <c r="AD86" s="7"/>
    </row>
    <row r="87">
      <c r="A87" s="7">
        <v>83.0</v>
      </c>
      <c r="B87" s="7" t="s">
        <v>30</v>
      </c>
      <c r="C87" s="7" t="s">
        <v>480</v>
      </c>
      <c r="D87" s="7" t="s">
        <v>32</v>
      </c>
      <c r="E87" s="8" t="s">
        <v>33</v>
      </c>
      <c r="F87" s="8" t="s">
        <v>497</v>
      </c>
      <c r="G87" s="9" t="s">
        <v>498</v>
      </c>
      <c r="H87" s="8" t="s">
        <v>499</v>
      </c>
      <c r="I87" s="8">
        <v>5.2734728E7</v>
      </c>
      <c r="J87" s="10">
        <v>3.629395E7</v>
      </c>
      <c r="K87" s="11">
        <v>1099817.0</v>
      </c>
      <c r="L87" s="10">
        <f t="shared" si="1"/>
        <v>37393767</v>
      </c>
      <c r="M87" s="12">
        <f>IFERROR(__xludf.DUMMYFUNCTION("+N87/L87"),0.4705882400133691)</f>
        <v>0.47058824</v>
      </c>
      <c r="N87" s="13">
        <v>1.7597067E7</v>
      </c>
      <c r="O87" s="13">
        <f t="shared" si="2"/>
        <v>19796700</v>
      </c>
      <c r="P87" s="8" t="s">
        <v>53</v>
      </c>
      <c r="Q87" s="8">
        <v>11325.0</v>
      </c>
      <c r="R87" s="8">
        <v>9225.0</v>
      </c>
      <c r="S87" s="14">
        <v>45674.0</v>
      </c>
      <c r="T87" s="15"/>
      <c r="U87" s="14">
        <v>45678.0</v>
      </c>
      <c r="V87" s="8">
        <v>10.0</v>
      </c>
      <c r="W87" s="8">
        <v>333.0</v>
      </c>
      <c r="X87" s="8">
        <f t="shared" si="3"/>
        <v>343</v>
      </c>
      <c r="Y87" s="8">
        <v>54.65465465</v>
      </c>
      <c r="Z87" s="17">
        <v>46011.0</v>
      </c>
      <c r="AA87" s="8" t="s">
        <v>500</v>
      </c>
      <c r="AB87" s="8" t="s">
        <v>258</v>
      </c>
      <c r="AC87" s="8" t="s">
        <v>42</v>
      </c>
      <c r="AD87" s="7"/>
    </row>
    <row r="88">
      <c r="A88" s="7">
        <v>84.0</v>
      </c>
      <c r="B88" s="7" t="s">
        <v>30</v>
      </c>
      <c r="C88" s="7" t="s">
        <v>501</v>
      </c>
      <c r="D88" s="7" t="s">
        <v>32</v>
      </c>
      <c r="E88" s="8" t="s">
        <v>33</v>
      </c>
      <c r="F88" s="8" t="s">
        <v>502</v>
      </c>
      <c r="G88" s="9" t="s">
        <v>503</v>
      </c>
      <c r="H88" s="8" t="s">
        <v>504</v>
      </c>
      <c r="I88" s="8">
        <v>1.070954996E9</v>
      </c>
      <c r="J88" s="10">
        <v>6.93E7</v>
      </c>
      <c r="K88" s="11"/>
      <c r="L88" s="10">
        <f t="shared" si="1"/>
        <v>69300000</v>
      </c>
      <c r="M88" s="12">
        <f>IFERROR(__xludf.DUMMYFUNCTION("+N88/L88"),0.47878787878787876)</f>
        <v>0.4787878788</v>
      </c>
      <c r="N88" s="13">
        <v>3.318E7</v>
      </c>
      <c r="O88" s="13">
        <f t="shared" si="2"/>
        <v>36120000</v>
      </c>
      <c r="P88" s="8" t="s">
        <v>62</v>
      </c>
      <c r="Q88" s="8">
        <v>5925.0</v>
      </c>
      <c r="R88" s="8">
        <v>10025.0</v>
      </c>
      <c r="S88" s="14">
        <v>45678.0</v>
      </c>
      <c r="T88" s="15"/>
      <c r="U88" s="14">
        <v>45680.0</v>
      </c>
      <c r="V88" s="8"/>
      <c r="W88" s="8">
        <v>333.0</v>
      </c>
      <c r="X88" s="8">
        <f t="shared" si="3"/>
        <v>333</v>
      </c>
      <c r="Y88" s="8">
        <v>54.05405405</v>
      </c>
      <c r="Z88" s="17">
        <f>VLOOKUP(F88,RANGOFECHAFINAL,25,FALSE)</f>
        <v>46013</v>
      </c>
      <c r="AA88" s="8" t="s">
        <v>438</v>
      </c>
      <c r="AB88" s="8" t="s">
        <v>134</v>
      </c>
      <c r="AC88" s="8" t="s">
        <v>42</v>
      </c>
      <c r="AD88" s="7"/>
    </row>
    <row r="89">
      <c r="A89" s="7">
        <v>85.0</v>
      </c>
      <c r="B89" s="7" t="s">
        <v>30</v>
      </c>
      <c r="C89" s="7" t="s">
        <v>505</v>
      </c>
      <c r="D89" s="7" t="s">
        <v>32</v>
      </c>
      <c r="E89" s="8" t="s">
        <v>33</v>
      </c>
      <c r="F89" s="8" t="s">
        <v>506</v>
      </c>
      <c r="G89" s="9" t="s">
        <v>507</v>
      </c>
      <c r="H89" s="8" t="s">
        <v>508</v>
      </c>
      <c r="I89" s="8">
        <v>7183875.0</v>
      </c>
      <c r="J89" s="10">
        <v>7.5E7</v>
      </c>
      <c r="K89" s="11"/>
      <c r="L89" s="10">
        <f t="shared" si="1"/>
        <v>75000000</v>
      </c>
      <c r="M89" s="12">
        <f>IFERROR(__xludf.DUMMYFUNCTION("+N89/L89"),0.5333333333333333)</f>
        <v>0.5333333333</v>
      </c>
      <c r="N89" s="13">
        <v>4.0E7</v>
      </c>
      <c r="O89" s="13">
        <f t="shared" si="2"/>
        <v>35000000</v>
      </c>
      <c r="P89" s="8" t="s">
        <v>197</v>
      </c>
      <c r="Q89" s="8">
        <v>5725.0</v>
      </c>
      <c r="R89" s="8">
        <v>9625.0</v>
      </c>
      <c r="S89" s="14">
        <v>45677.0</v>
      </c>
      <c r="T89" s="15"/>
      <c r="U89" s="14">
        <v>45678.0</v>
      </c>
      <c r="V89" s="8"/>
      <c r="W89" s="8">
        <v>303.0</v>
      </c>
      <c r="X89" s="8">
        <f t="shared" si="3"/>
        <v>303</v>
      </c>
      <c r="Y89" s="8">
        <v>60.0660066</v>
      </c>
      <c r="Z89" s="17">
        <f>VLOOKUP(F89,RANGOFECHAFINAL,25,FALSE)</f>
        <v>45981</v>
      </c>
      <c r="AA89" s="8" t="s">
        <v>509</v>
      </c>
      <c r="AB89" s="8" t="s">
        <v>263</v>
      </c>
      <c r="AC89" s="8" t="s">
        <v>42</v>
      </c>
      <c r="AD89" s="7"/>
    </row>
    <row r="90">
      <c r="A90" s="7">
        <v>86.0</v>
      </c>
      <c r="B90" s="7" t="s">
        <v>30</v>
      </c>
      <c r="C90" s="7" t="s">
        <v>510</v>
      </c>
      <c r="D90" s="7" t="s">
        <v>32</v>
      </c>
      <c r="E90" s="8" t="s">
        <v>33</v>
      </c>
      <c r="F90" s="8" t="s">
        <v>511</v>
      </c>
      <c r="G90" s="9" t="s">
        <v>512</v>
      </c>
      <c r="H90" s="8" t="s">
        <v>513</v>
      </c>
      <c r="I90" s="8">
        <v>1.3456486E7</v>
      </c>
      <c r="J90" s="10">
        <v>2.2211E7</v>
      </c>
      <c r="K90" s="11">
        <v>1.7980333E7</v>
      </c>
      <c r="L90" s="10">
        <f t="shared" si="1"/>
        <v>40191333</v>
      </c>
      <c r="M90" s="12">
        <f>IFERROR(__xludf.DUMMYFUNCTION("+N90/L90"),0.8421052618483692)</f>
        <v>0.8421052618</v>
      </c>
      <c r="N90" s="13">
        <v>3.3845333E7</v>
      </c>
      <c r="O90" s="13">
        <f t="shared" si="2"/>
        <v>6346000</v>
      </c>
      <c r="P90" s="8" t="s">
        <v>228</v>
      </c>
      <c r="Q90" s="8">
        <v>10625.0</v>
      </c>
      <c r="R90" s="8">
        <v>9725.0</v>
      </c>
      <c r="S90" s="14">
        <v>45677.0</v>
      </c>
      <c r="T90" s="15"/>
      <c r="U90" s="14">
        <v>45678.0</v>
      </c>
      <c r="V90" s="8">
        <v>90.0</v>
      </c>
      <c r="W90" s="8">
        <v>104.0</v>
      </c>
      <c r="X90" s="8">
        <f t="shared" si="3"/>
        <v>194</v>
      </c>
      <c r="Y90" s="8">
        <v>100.0</v>
      </c>
      <c r="Z90" s="17">
        <f>VLOOKUP(F90,RANGOFECHAFINAL,25,FALSE)</f>
        <v>45838</v>
      </c>
      <c r="AA90" s="8" t="s">
        <v>514</v>
      </c>
      <c r="AB90" s="8" t="s">
        <v>453</v>
      </c>
      <c r="AC90" s="8" t="s">
        <v>42</v>
      </c>
      <c r="AD90" s="7"/>
    </row>
    <row r="91">
      <c r="A91" s="7">
        <v>87.0</v>
      </c>
      <c r="B91" s="7" t="s">
        <v>30</v>
      </c>
      <c r="C91" s="7" t="s">
        <v>515</v>
      </c>
      <c r="D91" s="7" t="s">
        <v>32</v>
      </c>
      <c r="E91" s="8" t="s">
        <v>33</v>
      </c>
      <c r="F91" s="8" t="s">
        <v>516</v>
      </c>
      <c r="G91" s="9" t="s">
        <v>517</v>
      </c>
      <c r="H91" s="8" t="s">
        <v>518</v>
      </c>
      <c r="I91" s="8">
        <v>5.2045839E7</v>
      </c>
      <c r="J91" s="10">
        <v>6.414272E7</v>
      </c>
      <c r="K91" s="11"/>
      <c r="L91" s="10">
        <f t="shared" si="1"/>
        <v>64142720</v>
      </c>
      <c r="M91" s="12">
        <f>IFERROR(__xludf.DUMMYFUNCTION("+N91/L91"),0.6583333385300779)</f>
        <v>0.6583333385</v>
      </c>
      <c r="N91" s="13">
        <v>4.2227291E7</v>
      </c>
      <c r="O91" s="13">
        <f t="shared" si="2"/>
        <v>21915429</v>
      </c>
      <c r="P91" s="8" t="s">
        <v>145</v>
      </c>
      <c r="Q91" s="8">
        <v>7925.0</v>
      </c>
      <c r="R91" s="8">
        <v>10425.0</v>
      </c>
      <c r="S91" s="14">
        <v>45679.0</v>
      </c>
      <c r="T91" s="15"/>
      <c r="U91" s="14">
        <v>45680.0</v>
      </c>
      <c r="V91" s="8"/>
      <c r="W91" s="8">
        <v>242.0</v>
      </c>
      <c r="X91" s="8">
        <f t="shared" si="3"/>
        <v>242</v>
      </c>
      <c r="Y91" s="8">
        <v>74.38016529</v>
      </c>
      <c r="Z91" s="17">
        <f>VLOOKUP(F91,RANGOFECHAFINAL,25,FALSE)</f>
        <v>45922</v>
      </c>
      <c r="AA91" s="8" t="s">
        <v>146</v>
      </c>
      <c r="AB91" s="8" t="s">
        <v>147</v>
      </c>
      <c r="AC91" s="8" t="s">
        <v>42</v>
      </c>
      <c r="AD91" s="7"/>
    </row>
    <row r="92">
      <c r="A92" s="7">
        <v>88.0</v>
      </c>
      <c r="B92" s="7" t="s">
        <v>30</v>
      </c>
      <c r="C92" s="7" t="s">
        <v>519</v>
      </c>
      <c r="D92" s="7" t="s">
        <v>32</v>
      </c>
      <c r="E92" s="8" t="s">
        <v>520</v>
      </c>
      <c r="F92" s="8" t="s">
        <v>521</v>
      </c>
      <c r="G92" s="9" t="s">
        <v>522</v>
      </c>
      <c r="H92" s="8" t="s">
        <v>523</v>
      </c>
      <c r="I92" s="8">
        <v>5.3082812E7</v>
      </c>
      <c r="J92" s="10">
        <v>8.1E7</v>
      </c>
      <c r="K92" s="11"/>
      <c r="L92" s="10">
        <f t="shared" si="1"/>
        <v>81000000</v>
      </c>
      <c r="M92" s="12">
        <f>IFERROR(__xludf.DUMMYFUNCTION("+N92/L92"),0.5703703703703704)</f>
        <v>0.5703703704</v>
      </c>
      <c r="N92" s="13">
        <v>4.62E7</v>
      </c>
      <c r="O92" s="13">
        <f t="shared" si="2"/>
        <v>34800000</v>
      </c>
      <c r="P92" s="8" t="s">
        <v>145</v>
      </c>
      <c r="Q92" s="8">
        <v>8025.0</v>
      </c>
      <c r="R92" s="8">
        <v>11625.0</v>
      </c>
      <c r="S92" s="14">
        <v>45681.0</v>
      </c>
      <c r="T92" s="15"/>
      <c r="U92" s="14">
        <v>45682.0</v>
      </c>
      <c r="V92" s="8"/>
      <c r="W92" s="8">
        <v>270.0</v>
      </c>
      <c r="X92" s="8">
        <f t="shared" si="3"/>
        <v>270</v>
      </c>
      <c r="Y92" s="8">
        <v>64.96350365</v>
      </c>
      <c r="Z92" s="17">
        <f>VLOOKUP(F92,RANGOFECHAFINAL,25,FALSE)</f>
        <v>45956</v>
      </c>
      <c r="AA92" s="8" t="s">
        <v>524</v>
      </c>
      <c r="AB92" s="8" t="s">
        <v>147</v>
      </c>
      <c r="AC92" s="8" t="s">
        <v>42</v>
      </c>
      <c r="AD92" s="7"/>
    </row>
    <row r="93">
      <c r="A93" s="7">
        <v>89.0</v>
      </c>
      <c r="B93" s="7" t="s">
        <v>30</v>
      </c>
      <c r="C93" s="7" t="s">
        <v>525</v>
      </c>
      <c r="D93" s="7" t="s">
        <v>32</v>
      </c>
      <c r="E93" s="8" t="s">
        <v>33</v>
      </c>
      <c r="F93" s="8" t="s">
        <v>526</v>
      </c>
      <c r="G93" s="9" t="s">
        <v>527</v>
      </c>
      <c r="H93" s="8" t="s">
        <v>528</v>
      </c>
      <c r="I93" s="8">
        <v>7687651.0</v>
      </c>
      <c r="J93" s="10">
        <v>7.3668E7</v>
      </c>
      <c r="K93" s="11"/>
      <c r="L93" s="10">
        <f t="shared" si="1"/>
        <v>73668000</v>
      </c>
      <c r="M93" s="12">
        <f>IFERROR(__xludf.DUMMYFUNCTION("+N93/L93"),0.5266666666666666)</f>
        <v>0.5266666667</v>
      </c>
      <c r="N93" s="13">
        <v>3.879848E7</v>
      </c>
      <c r="O93" s="13">
        <f t="shared" si="2"/>
        <v>34869520</v>
      </c>
      <c r="P93" s="8" t="s">
        <v>145</v>
      </c>
      <c r="Q93" s="25">
        <v>14725.0</v>
      </c>
      <c r="R93" s="25">
        <v>10525.0</v>
      </c>
      <c r="S93" s="26">
        <v>45679.0</v>
      </c>
      <c r="T93" s="26"/>
      <c r="U93" s="26">
        <v>45680.0</v>
      </c>
      <c r="V93" s="8"/>
      <c r="W93" s="8">
        <v>303.0</v>
      </c>
      <c r="X93" s="8">
        <f t="shared" si="3"/>
        <v>303</v>
      </c>
      <c r="Y93" s="8">
        <v>59.40594059</v>
      </c>
      <c r="Z93" s="17">
        <f>VLOOKUP(F93,RANGOFECHAFINAL,25,FALSE)</f>
        <v>45983</v>
      </c>
      <c r="AA93" s="8" t="s">
        <v>529</v>
      </c>
      <c r="AB93" s="8" t="s">
        <v>530</v>
      </c>
      <c r="AC93" s="8" t="s">
        <v>42</v>
      </c>
      <c r="AD93" s="7"/>
    </row>
    <row r="94">
      <c r="A94" s="7">
        <v>90.0</v>
      </c>
      <c r="B94" s="7" t="s">
        <v>30</v>
      </c>
      <c r="C94" s="7" t="s">
        <v>525</v>
      </c>
      <c r="D94" s="7" t="s">
        <v>32</v>
      </c>
      <c r="E94" s="8" t="s">
        <v>33</v>
      </c>
      <c r="F94" s="8" t="s">
        <v>531</v>
      </c>
      <c r="G94" s="9" t="s">
        <v>532</v>
      </c>
      <c r="H94" s="8" t="s">
        <v>533</v>
      </c>
      <c r="I94" s="8">
        <v>1.037608001E9</v>
      </c>
      <c r="J94" s="10">
        <v>8.14E7</v>
      </c>
      <c r="K94" s="11"/>
      <c r="L94" s="10">
        <f t="shared" si="1"/>
        <v>81400000</v>
      </c>
      <c r="M94" s="12">
        <f>IFERROR(__xludf.DUMMYFUNCTION("+N94/L94"),0.4757575798525798)</f>
        <v>0.4757575799</v>
      </c>
      <c r="N94" s="13">
        <v>3.8726667E7</v>
      </c>
      <c r="O94" s="13">
        <f t="shared" si="2"/>
        <v>42673333</v>
      </c>
      <c r="P94" s="8" t="s">
        <v>77</v>
      </c>
      <c r="Q94" s="8">
        <v>11625.0</v>
      </c>
      <c r="R94" s="8">
        <v>11125.0</v>
      </c>
      <c r="S94" s="14">
        <v>45680.0</v>
      </c>
      <c r="T94" s="15"/>
      <c r="U94" s="14">
        <v>45681.0</v>
      </c>
      <c r="V94" s="8"/>
      <c r="W94" s="8">
        <v>333.0</v>
      </c>
      <c r="X94" s="8">
        <f t="shared" si="3"/>
        <v>333</v>
      </c>
      <c r="Y94" s="8">
        <v>53.75375375</v>
      </c>
      <c r="Z94" s="17">
        <f>VLOOKUP(F94,RANGOFECHAFINAL,25,FALSE)</f>
        <v>46014</v>
      </c>
      <c r="AA94" s="8" t="s">
        <v>105</v>
      </c>
      <c r="AB94" s="8" t="s">
        <v>106</v>
      </c>
      <c r="AC94" s="8" t="s">
        <v>42</v>
      </c>
      <c r="AD94" s="7"/>
    </row>
    <row r="95">
      <c r="A95" s="7">
        <v>91.0</v>
      </c>
      <c r="B95" s="7" t="s">
        <v>30</v>
      </c>
      <c r="C95" s="7" t="s">
        <v>448</v>
      </c>
      <c r="D95" s="7" t="s">
        <v>32</v>
      </c>
      <c r="E95" s="8" t="s">
        <v>33</v>
      </c>
      <c r="F95" s="8" t="s">
        <v>534</v>
      </c>
      <c r="G95" s="9" t="s">
        <v>535</v>
      </c>
      <c r="H95" s="8" t="s">
        <v>536</v>
      </c>
      <c r="I95" s="8">
        <v>1.019065837E9</v>
      </c>
      <c r="J95" s="10">
        <v>5.5E7</v>
      </c>
      <c r="K95" s="11"/>
      <c r="L95" s="10">
        <f t="shared" si="1"/>
        <v>55000000</v>
      </c>
      <c r="M95" s="12">
        <f>IFERROR(__xludf.DUMMYFUNCTION("+N95/L95"),0.47575758181818184)</f>
        <v>0.4757575818</v>
      </c>
      <c r="N95" s="13">
        <v>2.6166667E7</v>
      </c>
      <c r="O95" s="13">
        <f t="shared" si="2"/>
        <v>28833333</v>
      </c>
      <c r="P95" s="8" t="s">
        <v>77</v>
      </c>
      <c r="Q95" s="8">
        <v>11825.0</v>
      </c>
      <c r="R95" s="8">
        <v>11025.0</v>
      </c>
      <c r="S95" s="14">
        <v>45679.0</v>
      </c>
      <c r="T95" s="15"/>
      <c r="U95" s="14">
        <v>45680.0</v>
      </c>
      <c r="V95" s="8"/>
      <c r="W95" s="8">
        <v>334.0</v>
      </c>
      <c r="X95" s="8">
        <f t="shared" si="3"/>
        <v>334</v>
      </c>
      <c r="Y95" s="8">
        <v>53.89221557</v>
      </c>
      <c r="Z95" s="17">
        <f>VLOOKUP(F95,RANGOFECHAFINAL,25,FALSE)</f>
        <v>46014</v>
      </c>
      <c r="AA95" s="8" t="s">
        <v>229</v>
      </c>
      <c r="AB95" s="8" t="s">
        <v>537</v>
      </c>
      <c r="AC95" s="8" t="s">
        <v>42</v>
      </c>
      <c r="AD95" s="7"/>
    </row>
    <row r="96">
      <c r="A96" s="7">
        <v>92.0</v>
      </c>
      <c r="B96" s="7" t="s">
        <v>30</v>
      </c>
      <c r="C96" s="7" t="s">
        <v>538</v>
      </c>
      <c r="D96" s="7" t="s">
        <v>32</v>
      </c>
      <c r="E96" s="8" t="s">
        <v>33</v>
      </c>
      <c r="F96" s="8" t="s">
        <v>539</v>
      </c>
      <c r="G96" s="9" t="s">
        <v>540</v>
      </c>
      <c r="H96" s="8" t="s">
        <v>541</v>
      </c>
      <c r="I96" s="8">
        <v>8.7949267E7</v>
      </c>
      <c r="J96" s="10">
        <v>1.4091E7</v>
      </c>
      <c r="K96" s="11">
        <v>1.11386E7</v>
      </c>
      <c r="L96" s="10">
        <f t="shared" si="1"/>
        <v>25229600</v>
      </c>
      <c r="M96" s="12">
        <f>IFERROR(__xludf.DUMMYFUNCTION("+N96/L96"),0.8404255319148937)</f>
        <v>0.8404255319</v>
      </c>
      <c r="N96" s="13">
        <v>2.12036E7</v>
      </c>
      <c r="O96" s="13">
        <f t="shared" si="2"/>
        <v>4026000</v>
      </c>
      <c r="P96" s="8" t="s">
        <v>228</v>
      </c>
      <c r="Q96" s="8">
        <v>13325.0</v>
      </c>
      <c r="R96" s="8">
        <v>10325.0</v>
      </c>
      <c r="S96" s="14">
        <v>45679.0</v>
      </c>
      <c r="T96" s="15"/>
      <c r="U96" s="14">
        <v>45680.0</v>
      </c>
      <c r="V96" s="8">
        <v>90.0</v>
      </c>
      <c r="W96" s="8">
        <v>104.0</v>
      </c>
      <c r="X96" s="8">
        <f t="shared" si="3"/>
        <v>194</v>
      </c>
      <c r="Y96" s="8">
        <v>95.23809524</v>
      </c>
      <c r="Z96" s="18">
        <v>45869.0</v>
      </c>
      <c r="AA96" s="8" t="s">
        <v>489</v>
      </c>
      <c r="AB96" s="8" t="s">
        <v>453</v>
      </c>
      <c r="AC96" s="8" t="s">
        <v>42</v>
      </c>
      <c r="AD96" s="7"/>
    </row>
    <row r="97">
      <c r="A97" s="7">
        <v>93.0</v>
      </c>
      <c r="B97" s="7" t="s">
        <v>30</v>
      </c>
      <c r="C97" s="7" t="s">
        <v>542</v>
      </c>
      <c r="D97" s="7" t="s">
        <v>32</v>
      </c>
      <c r="E97" s="8" t="s">
        <v>33</v>
      </c>
      <c r="F97" s="8" t="s">
        <v>543</v>
      </c>
      <c r="G97" s="9" t="s">
        <v>544</v>
      </c>
      <c r="H97" s="8" t="s">
        <v>545</v>
      </c>
      <c r="I97" s="8">
        <v>1.026299983E9</v>
      </c>
      <c r="J97" s="10">
        <v>7.2765E7</v>
      </c>
      <c r="K97" s="11"/>
      <c r="L97" s="10">
        <f t="shared" si="1"/>
        <v>72765000</v>
      </c>
      <c r="M97" s="12">
        <f>IFERROR(__xludf.DUMMYFUNCTION("+N97/L97"),0.4757507043221329)</f>
        <v>0.4757507043</v>
      </c>
      <c r="N97" s="13">
        <v>3.4618E7</v>
      </c>
      <c r="O97" s="13">
        <f t="shared" si="2"/>
        <v>38147000</v>
      </c>
      <c r="P97" s="8" t="s">
        <v>38</v>
      </c>
      <c r="Q97" s="8">
        <v>14825.0</v>
      </c>
      <c r="R97" s="8">
        <v>10125.0</v>
      </c>
      <c r="S97" s="14">
        <v>45679.0</v>
      </c>
      <c r="T97" s="15"/>
      <c r="U97" s="14">
        <v>45681.0</v>
      </c>
      <c r="V97" s="8"/>
      <c r="W97" s="8">
        <v>333.0</v>
      </c>
      <c r="X97" s="8">
        <f t="shared" si="3"/>
        <v>333</v>
      </c>
      <c r="Y97" s="8">
        <v>53.75375375</v>
      </c>
      <c r="Z97" s="17">
        <f>VLOOKUP(F97,RANGOFECHAFINAL,25,FALSE)</f>
        <v>46014</v>
      </c>
      <c r="AA97" s="8" t="s">
        <v>546</v>
      </c>
      <c r="AB97" s="8" t="s">
        <v>176</v>
      </c>
      <c r="AC97" s="8" t="s">
        <v>42</v>
      </c>
      <c r="AD97" s="7"/>
    </row>
    <row r="98">
      <c r="A98" s="7">
        <v>94.0</v>
      </c>
      <c r="B98" s="7" t="s">
        <v>30</v>
      </c>
      <c r="C98" s="7" t="s">
        <v>547</v>
      </c>
      <c r="D98" s="7" t="s">
        <v>32</v>
      </c>
      <c r="E98" s="8" t="s">
        <v>33</v>
      </c>
      <c r="F98" s="8" t="s">
        <v>548</v>
      </c>
      <c r="G98" s="9" t="s">
        <v>549</v>
      </c>
      <c r="H98" s="8" t="s">
        <v>550</v>
      </c>
      <c r="I98" s="8">
        <v>2.6203478E7</v>
      </c>
      <c r="J98" s="10">
        <v>4.2E7</v>
      </c>
      <c r="K98" s="11"/>
      <c r="L98" s="10">
        <f t="shared" si="1"/>
        <v>42000000</v>
      </c>
      <c r="M98" s="12">
        <f>IFERROR(__xludf.DUMMYFUNCTION("+N98/L98"),0.5714285714285714)</f>
        <v>0.5714285714</v>
      </c>
      <c r="N98" s="13">
        <v>2.4E7</v>
      </c>
      <c r="O98" s="13">
        <f t="shared" si="2"/>
        <v>18000000</v>
      </c>
      <c r="P98" s="8" t="s">
        <v>367</v>
      </c>
      <c r="Q98" s="8">
        <v>14625.0</v>
      </c>
      <c r="R98" s="8">
        <v>10225.0</v>
      </c>
      <c r="S98" s="14">
        <v>45679.0</v>
      </c>
      <c r="T98" s="15"/>
      <c r="U98" s="14">
        <v>45680.0</v>
      </c>
      <c r="V98" s="8"/>
      <c r="W98" s="8">
        <v>333.0</v>
      </c>
      <c r="X98" s="8">
        <f t="shared" si="3"/>
        <v>333</v>
      </c>
      <c r="Y98" s="8">
        <v>54.05405405</v>
      </c>
      <c r="Z98" s="17">
        <f>VLOOKUP(F98,RANGOFECHAFINAL,25,FALSE)</f>
        <v>46013</v>
      </c>
      <c r="AA98" s="8" t="s">
        <v>551</v>
      </c>
      <c r="AB98" s="8" t="s">
        <v>552</v>
      </c>
      <c r="AC98" s="8" t="s">
        <v>42</v>
      </c>
      <c r="AD98" s="7"/>
    </row>
    <row r="99">
      <c r="A99" s="7">
        <v>95.0</v>
      </c>
      <c r="B99" s="7" t="s">
        <v>30</v>
      </c>
      <c r="C99" s="7" t="s">
        <v>553</v>
      </c>
      <c r="D99" s="7" t="s">
        <v>32</v>
      </c>
      <c r="E99" s="8" t="s">
        <v>33</v>
      </c>
      <c r="F99" s="8" t="s">
        <v>554</v>
      </c>
      <c r="G99" s="9" t="s">
        <v>555</v>
      </c>
      <c r="H99" s="8" t="s">
        <v>556</v>
      </c>
      <c r="I99" s="8">
        <v>1.07413537E9</v>
      </c>
      <c r="J99" s="10">
        <v>7.32963E7</v>
      </c>
      <c r="K99" s="11"/>
      <c r="L99" s="10">
        <f t="shared" si="1"/>
        <v>73296300</v>
      </c>
      <c r="M99" s="12">
        <f>IFERROR(__xludf.DUMMYFUNCTION("+N99/L99"),0.47575757575757577)</f>
        <v>0.4757575758</v>
      </c>
      <c r="N99" s="13">
        <v>3.487127E7</v>
      </c>
      <c r="O99" s="13">
        <f t="shared" si="2"/>
        <v>38425030</v>
      </c>
      <c r="P99" s="8" t="s">
        <v>91</v>
      </c>
      <c r="Q99" s="8">
        <v>15425.0</v>
      </c>
      <c r="R99" s="8">
        <v>10725.0</v>
      </c>
      <c r="S99" s="14">
        <v>45679.0</v>
      </c>
      <c r="T99" s="15"/>
      <c r="U99" s="14">
        <v>45681.0</v>
      </c>
      <c r="V99" s="8"/>
      <c r="W99" s="8">
        <v>333.0</v>
      </c>
      <c r="X99" s="8">
        <f t="shared" si="3"/>
        <v>333</v>
      </c>
      <c r="Y99" s="8">
        <v>53.75375375</v>
      </c>
      <c r="Z99" s="17">
        <f>VLOOKUP(F99,RANGOFECHAFINAL,25,FALSE)</f>
        <v>46014</v>
      </c>
      <c r="AA99" s="8" t="s">
        <v>557</v>
      </c>
      <c r="AB99" s="8" t="s">
        <v>165</v>
      </c>
      <c r="AC99" s="8" t="s">
        <v>42</v>
      </c>
      <c r="AD99" s="7"/>
    </row>
    <row r="100">
      <c r="A100" s="7">
        <v>96.0</v>
      </c>
      <c r="B100" s="7" t="s">
        <v>30</v>
      </c>
      <c r="C100" s="7" t="s">
        <v>553</v>
      </c>
      <c r="D100" s="7" t="s">
        <v>32</v>
      </c>
      <c r="E100" s="8" t="s">
        <v>33</v>
      </c>
      <c r="F100" s="8" t="s">
        <v>558</v>
      </c>
      <c r="G100" s="9" t="s">
        <v>559</v>
      </c>
      <c r="H100" s="8" t="s">
        <v>560</v>
      </c>
      <c r="I100" s="8">
        <v>1.144099527E9</v>
      </c>
      <c r="J100" s="10">
        <v>4.81173E7</v>
      </c>
      <c r="K100" s="11"/>
      <c r="L100" s="10">
        <f t="shared" si="1"/>
        <v>48117300</v>
      </c>
      <c r="M100" s="12">
        <f>IFERROR(__xludf.DUMMYFUNCTION("+N100/L100"),0.47575757575757577)</f>
        <v>0.4757575758</v>
      </c>
      <c r="N100" s="13">
        <v>2.289217E7</v>
      </c>
      <c r="O100" s="13">
        <f t="shared" si="2"/>
        <v>25225130</v>
      </c>
      <c r="P100" s="8" t="s">
        <v>91</v>
      </c>
      <c r="Q100" s="8">
        <v>15025.0</v>
      </c>
      <c r="R100" s="8">
        <v>10825.0</v>
      </c>
      <c r="S100" s="14">
        <v>45679.0</v>
      </c>
      <c r="T100" s="15"/>
      <c r="U100" s="14">
        <v>45681.0</v>
      </c>
      <c r="V100" s="8"/>
      <c r="W100" s="8">
        <v>333.0</v>
      </c>
      <c r="X100" s="8">
        <f t="shared" si="3"/>
        <v>333</v>
      </c>
      <c r="Y100" s="8">
        <v>53.75375375</v>
      </c>
      <c r="Z100" s="17">
        <v>46014.0</v>
      </c>
      <c r="AA100" s="8" t="s">
        <v>561</v>
      </c>
      <c r="AB100" s="8" t="s">
        <v>165</v>
      </c>
      <c r="AC100" s="8" t="s">
        <v>42</v>
      </c>
      <c r="AD100" s="7"/>
    </row>
    <row r="101">
      <c r="A101" s="7">
        <v>97.0</v>
      </c>
      <c r="B101" s="7" t="s">
        <v>30</v>
      </c>
      <c r="C101" s="7" t="s">
        <v>562</v>
      </c>
      <c r="D101" s="7" t="s">
        <v>32</v>
      </c>
      <c r="E101" s="8" t="s">
        <v>33</v>
      </c>
      <c r="F101" s="8" t="s">
        <v>563</v>
      </c>
      <c r="G101" s="9" t="s">
        <v>287</v>
      </c>
      <c r="H101" s="8" t="s">
        <v>564</v>
      </c>
      <c r="I101" s="8">
        <v>1.100838461E9</v>
      </c>
      <c r="J101" s="10">
        <v>8.10348E7</v>
      </c>
      <c r="K101" s="11"/>
      <c r="L101" s="10">
        <f t="shared" si="1"/>
        <v>81034800</v>
      </c>
      <c r="M101" s="12">
        <f>IFERROR(__xludf.DUMMYFUNCTION("+N101/L101"),0.47575757575757577)</f>
        <v>0.4757575758</v>
      </c>
      <c r="N101" s="13">
        <v>3.855292E7</v>
      </c>
      <c r="O101" s="13">
        <f t="shared" si="2"/>
        <v>42481880</v>
      </c>
      <c r="P101" s="8" t="s">
        <v>91</v>
      </c>
      <c r="Q101" s="8">
        <v>15125.0</v>
      </c>
      <c r="R101" s="8">
        <v>10625.0</v>
      </c>
      <c r="S101" s="14">
        <v>45679.0</v>
      </c>
      <c r="T101" s="15"/>
      <c r="U101" s="14">
        <v>45681.0</v>
      </c>
      <c r="V101" s="8"/>
      <c r="W101" s="8">
        <v>332.0</v>
      </c>
      <c r="X101" s="8">
        <f t="shared" si="3"/>
        <v>332</v>
      </c>
      <c r="Y101" s="8">
        <v>53.91566265</v>
      </c>
      <c r="Z101" s="17">
        <f>VLOOKUP(F101,RANGOFECHAFINAL,25,FALSE)</f>
        <v>46013</v>
      </c>
      <c r="AA101" s="8" t="s">
        <v>557</v>
      </c>
      <c r="AB101" s="8" t="s">
        <v>165</v>
      </c>
      <c r="AC101" s="8" t="s">
        <v>42</v>
      </c>
      <c r="AD101" s="7"/>
    </row>
    <row r="102">
      <c r="A102" s="7">
        <v>98.0</v>
      </c>
      <c r="B102" s="7" t="s">
        <v>30</v>
      </c>
      <c r="C102" s="7" t="s">
        <v>547</v>
      </c>
      <c r="D102" s="7" t="s">
        <v>32</v>
      </c>
      <c r="E102" s="8" t="s">
        <v>33</v>
      </c>
      <c r="F102" s="8" t="s">
        <v>565</v>
      </c>
      <c r="G102" s="9" t="s">
        <v>555</v>
      </c>
      <c r="H102" s="8" t="s">
        <v>566</v>
      </c>
      <c r="I102" s="8">
        <v>1.02235787E9</v>
      </c>
      <c r="J102" s="10">
        <v>7.32963E7</v>
      </c>
      <c r="K102" s="11"/>
      <c r="L102" s="10">
        <f t="shared" si="1"/>
        <v>73296300</v>
      </c>
      <c r="M102" s="12">
        <f>IFERROR(__xludf.DUMMYFUNCTION("+N102/L102"),0.47575757575757577)</f>
        <v>0.4757575758</v>
      </c>
      <c r="N102" s="13">
        <v>3.487127E7</v>
      </c>
      <c r="O102" s="13">
        <f t="shared" si="2"/>
        <v>38425030</v>
      </c>
      <c r="P102" s="8" t="s">
        <v>91</v>
      </c>
      <c r="Q102" s="8">
        <v>14925.0</v>
      </c>
      <c r="R102" s="8">
        <v>10925.0</v>
      </c>
      <c r="S102" s="14">
        <v>45679.0</v>
      </c>
      <c r="T102" s="15"/>
      <c r="U102" s="14">
        <v>45681.0</v>
      </c>
      <c r="V102" s="8"/>
      <c r="W102" s="8">
        <v>333.0</v>
      </c>
      <c r="X102" s="8">
        <f t="shared" si="3"/>
        <v>333</v>
      </c>
      <c r="Y102" s="8">
        <v>53.75375375</v>
      </c>
      <c r="Z102" s="17">
        <f>VLOOKUP(F102,RANGOFECHAFINAL,25,FALSE)</f>
        <v>46014</v>
      </c>
      <c r="AA102" s="8" t="s">
        <v>170</v>
      </c>
      <c r="AB102" s="8" t="s">
        <v>165</v>
      </c>
      <c r="AC102" s="8" t="s">
        <v>42</v>
      </c>
      <c r="AD102" s="7"/>
    </row>
    <row r="103">
      <c r="A103" s="7">
        <v>99.0</v>
      </c>
      <c r="B103" s="7" t="s">
        <v>30</v>
      </c>
      <c r="C103" s="7" t="s">
        <v>567</v>
      </c>
      <c r="D103" s="7" t="s">
        <v>32</v>
      </c>
      <c r="E103" s="8" t="s">
        <v>33</v>
      </c>
      <c r="F103" s="8" t="s">
        <v>568</v>
      </c>
      <c r="G103" s="9" t="s">
        <v>569</v>
      </c>
      <c r="H103" s="8" t="s">
        <v>570</v>
      </c>
      <c r="I103" s="8">
        <v>7.9434157E7</v>
      </c>
      <c r="J103" s="10">
        <v>4.5066667E7</v>
      </c>
      <c r="K103" s="11">
        <v>-133334.0</v>
      </c>
      <c r="L103" s="10">
        <f t="shared" si="1"/>
        <v>44933333</v>
      </c>
      <c r="M103" s="12">
        <f>IFERROR(__xludf.DUMMYFUNCTION("+N103/L103"),0.4658753669575324)</f>
        <v>0.465875367</v>
      </c>
      <c r="N103" s="13">
        <v>2.0933333E7</v>
      </c>
      <c r="O103" s="13">
        <f t="shared" si="2"/>
        <v>24000000</v>
      </c>
      <c r="P103" s="8" t="s">
        <v>67</v>
      </c>
      <c r="Q103" s="8">
        <v>11225.0</v>
      </c>
      <c r="R103" s="8">
        <v>11525.0</v>
      </c>
      <c r="S103" s="14">
        <v>45680.0</v>
      </c>
      <c r="T103" s="15"/>
      <c r="U103" s="14">
        <v>45681.0</v>
      </c>
      <c r="V103" s="8"/>
      <c r="W103" s="8">
        <v>341.0</v>
      </c>
      <c r="X103" s="8">
        <f t="shared" si="3"/>
        <v>341</v>
      </c>
      <c r="Y103" s="8">
        <v>52.49266862</v>
      </c>
      <c r="Z103" s="17">
        <f>VLOOKUP(F103,RANGOFECHAFINAL,25,FALSE)</f>
        <v>46022</v>
      </c>
      <c r="AA103" s="8" t="s">
        <v>571</v>
      </c>
      <c r="AB103" s="8" t="s">
        <v>552</v>
      </c>
      <c r="AC103" s="8" t="s">
        <v>42</v>
      </c>
      <c r="AD103" s="7"/>
    </row>
    <row r="104">
      <c r="A104" s="7">
        <v>100.0</v>
      </c>
      <c r="B104" s="7" t="s">
        <v>30</v>
      </c>
      <c r="C104" s="7" t="s">
        <v>572</v>
      </c>
      <c r="D104" s="7" t="s">
        <v>32</v>
      </c>
      <c r="E104" s="8" t="s">
        <v>520</v>
      </c>
      <c r="F104" s="8" t="s">
        <v>573</v>
      </c>
      <c r="G104" s="9" t="s">
        <v>574</v>
      </c>
      <c r="H104" s="8" t="s">
        <v>575</v>
      </c>
      <c r="I104" s="8">
        <v>1.015393939E9</v>
      </c>
      <c r="J104" s="10">
        <v>1.1797726E8</v>
      </c>
      <c r="K104" s="11">
        <v>-1389080.0</v>
      </c>
      <c r="L104" s="10">
        <f t="shared" si="1"/>
        <v>116588180</v>
      </c>
      <c r="M104" s="12">
        <f>IFERROR(__xludf.DUMMYFUNCTION("+N104/L104"),0.45870499050589864)</f>
        <v>0.4587049905</v>
      </c>
      <c r="N104" s="13">
        <v>5.347958E7</v>
      </c>
      <c r="O104" s="13">
        <f t="shared" si="2"/>
        <v>63108600</v>
      </c>
      <c r="P104" s="8" t="s">
        <v>384</v>
      </c>
      <c r="Q104" s="8">
        <v>11525.0</v>
      </c>
      <c r="R104" s="8">
        <v>11825.0</v>
      </c>
      <c r="S104" s="14">
        <v>45681.0</v>
      </c>
      <c r="T104" s="15"/>
      <c r="U104" s="14">
        <v>45684.0</v>
      </c>
      <c r="V104" s="8"/>
      <c r="W104" s="8">
        <v>334.0</v>
      </c>
      <c r="X104" s="8">
        <f t="shared" si="3"/>
        <v>334</v>
      </c>
      <c r="Y104" s="8">
        <v>52.07100592</v>
      </c>
      <c r="Z104" s="17">
        <f>VLOOKUP(F104,RANGOFECHAFINAL,25,FALSE)</f>
        <v>46022</v>
      </c>
      <c r="AA104" s="8" t="s">
        <v>576</v>
      </c>
      <c r="AB104" s="8" t="s">
        <v>390</v>
      </c>
      <c r="AC104" s="8" t="s">
        <v>42</v>
      </c>
      <c r="AD104" s="7"/>
    </row>
    <row r="105">
      <c r="A105" s="7">
        <v>101.0</v>
      </c>
      <c r="B105" s="7" t="s">
        <v>30</v>
      </c>
      <c r="C105" s="7" t="s">
        <v>577</v>
      </c>
      <c r="D105" s="7" t="s">
        <v>32</v>
      </c>
      <c r="E105" s="8" t="s">
        <v>33</v>
      </c>
      <c r="F105" s="8" t="s">
        <v>578</v>
      </c>
      <c r="G105" s="9" t="s">
        <v>579</v>
      </c>
      <c r="H105" s="8" t="s">
        <v>580</v>
      </c>
      <c r="I105" s="8">
        <v>1.085897401E9</v>
      </c>
      <c r="J105" s="10">
        <v>8.112E7</v>
      </c>
      <c r="K105" s="11">
        <v>-240000.0</v>
      </c>
      <c r="L105" s="10">
        <f t="shared" si="1"/>
        <v>80880000</v>
      </c>
      <c r="M105" s="12">
        <f>IFERROR(__xludf.DUMMYFUNCTION("+N105/L105"),0.4658753709198813)</f>
        <v>0.4658753709</v>
      </c>
      <c r="N105" s="13">
        <v>3.768E7</v>
      </c>
      <c r="O105" s="13">
        <f t="shared" si="2"/>
        <v>43200000</v>
      </c>
      <c r="P105" s="8" t="s">
        <v>374</v>
      </c>
      <c r="Q105" s="8">
        <v>14325.0</v>
      </c>
      <c r="R105" s="8">
        <v>11225.0</v>
      </c>
      <c r="S105" s="14">
        <v>45680.0</v>
      </c>
      <c r="T105" s="15"/>
      <c r="U105" s="14">
        <v>45681.0</v>
      </c>
      <c r="V105" s="8"/>
      <c r="W105" s="8">
        <v>341.0</v>
      </c>
      <c r="X105" s="8">
        <f t="shared" si="3"/>
        <v>341</v>
      </c>
      <c r="Y105" s="8">
        <v>52.49266862</v>
      </c>
      <c r="Z105" s="17">
        <f>VLOOKUP(F105,RANGOFECHAFINAL,25,FALSE)</f>
        <v>46022</v>
      </c>
      <c r="AA105" s="8" t="s">
        <v>375</v>
      </c>
      <c r="AB105" s="8" t="s">
        <v>106</v>
      </c>
      <c r="AC105" s="8" t="s">
        <v>42</v>
      </c>
      <c r="AD105" s="7"/>
    </row>
    <row r="106">
      <c r="A106" s="7">
        <v>124.0</v>
      </c>
      <c r="B106" s="7" t="s">
        <v>581</v>
      </c>
      <c r="C106" s="7" t="s">
        <v>582</v>
      </c>
      <c r="D106" s="7" t="s">
        <v>32</v>
      </c>
      <c r="E106" s="8" t="s">
        <v>583</v>
      </c>
      <c r="F106" s="8" t="s">
        <v>584</v>
      </c>
      <c r="G106" s="9" t="s">
        <v>585</v>
      </c>
      <c r="H106" s="8" t="s">
        <v>586</v>
      </c>
      <c r="I106" s="8">
        <v>8.0724862E7</v>
      </c>
      <c r="J106" s="10">
        <v>1.1797726E8</v>
      </c>
      <c r="K106" s="11">
        <v>-1389080.0</v>
      </c>
      <c r="L106" s="10">
        <f t="shared" si="1"/>
        <v>116588180</v>
      </c>
      <c r="M106" s="12">
        <f>IFERROR(__xludf.DUMMYFUNCTION("+N106/L106"),0.45870499050589864)</f>
        <v>0.4587049905</v>
      </c>
      <c r="N106" s="13">
        <v>5.347958E7</v>
      </c>
      <c r="O106" s="13">
        <f t="shared" si="2"/>
        <v>63108600</v>
      </c>
      <c r="P106" s="8" t="s">
        <v>384</v>
      </c>
      <c r="Q106" s="8">
        <v>11425.0</v>
      </c>
      <c r="R106" s="8">
        <v>11925.0</v>
      </c>
      <c r="S106" s="14">
        <v>45681.0</v>
      </c>
      <c r="T106" s="15" t="s">
        <v>587</v>
      </c>
      <c r="U106" s="14">
        <v>45686.0</v>
      </c>
      <c r="V106" s="8"/>
      <c r="W106" s="8">
        <v>338.0</v>
      </c>
      <c r="X106" s="8">
        <f t="shared" si="3"/>
        <v>338</v>
      </c>
      <c r="Y106" s="8">
        <v>51.78571429</v>
      </c>
      <c r="Z106" s="17">
        <f>VLOOKUP(F106,RANGOFECHAFINAL,25,FALSE)</f>
        <v>46022</v>
      </c>
      <c r="AA106" s="8" t="s">
        <v>588</v>
      </c>
      <c r="AB106" s="8" t="s">
        <v>154</v>
      </c>
      <c r="AC106" s="8" t="s">
        <v>42</v>
      </c>
      <c r="AD106" s="7"/>
    </row>
    <row r="107">
      <c r="A107" s="7">
        <v>125.0</v>
      </c>
      <c r="B107" s="7" t="s">
        <v>581</v>
      </c>
      <c r="C107" s="7" t="s">
        <v>589</v>
      </c>
      <c r="D107" s="7" t="s">
        <v>32</v>
      </c>
      <c r="E107" s="8" t="s">
        <v>583</v>
      </c>
      <c r="F107" s="8" t="s">
        <v>590</v>
      </c>
      <c r="G107" s="9" t="s">
        <v>591</v>
      </c>
      <c r="H107" s="8" t="s">
        <v>592</v>
      </c>
      <c r="I107" s="8">
        <v>8.0797794E7</v>
      </c>
      <c r="J107" s="10">
        <v>6.0E7</v>
      </c>
      <c r="K107" s="11"/>
      <c r="L107" s="10">
        <f t="shared" si="1"/>
        <v>60000000</v>
      </c>
      <c r="M107" s="12">
        <f>IFERROR(__xludf.DUMMYFUNCTION("+N107/L107"),0.5133333333333333)</f>
        <v>0.5133333333</v>
      </c>
      <c r="N107" s="13">
        <v>3.08E7</v>
      </c>
      <c r="O107" s="13">
        <f t="shared" si="2"/>
        <v>29200000</v>
      </c>
      <c r="P107" s="8" t="s">
        <v>62</v>
      </c>
      <c r="Q107" s="8">
        <v>11125.0</v>
      </c>
      <c r="R107" s="8">
        <v>12125.0</v>
      </c>
      <c r="S107" s="14">
        <v>45681.0</v>
      </c>
      <c r="T107" s="15" t="s">
        <v>587</v>
      </c>
      <c r="U107" s="14">
        <v>45693.0</v>
      </c>
      <c r="V107" s="8"/>
      <c r="W107" s="8">
        <v>303.0</v>
      </c>
      <c r="X107" s="8">
        <f t="shared" si="3"/>
        <v>303</v>
      </c>
      <c r="Y107" s="8">
        <v>56.80272109</v>
      </c>
      <c r="Z107" s="17">
        <f>VLOOKUP(F107,RANGOFECHAFINAL,25,FALSE)</f>
        <v>45987</v>
      </c>
      <c r="AA107" s="8" t="s">
        <v>593</v>
      </c>
      <c r="AB107" s="8" t="s">
        <v>263</v>
      </c>
      <c r="AC107" s="8" t="s">
        <v>42</v>
      </c>
      <c r="AD107" s="7"/>
    </row>
    <row r="108">
      <c r="A108" s="7">
        <v>126.0</v>
      </c>
      <c r="B108" s="7" t="s">
        <v>581</v>
      </c>
      <c r="C108" s="7" t="s">
        <v>594</v>
      </c>
      <c r="D108" s="7" t="s">
        <v>32</v>
      </c>
      <c r="E108" s="8" t="s">
        <v>583</v>
      </c>
      <c r="F108" s="8" t="s">
        <v>595</v>
      </c>
      <c r="G108" s="9" t="s">
        <v>596</v>
      </c>
      <c r="H108" s="8" t="s">
        <v>597</v>
      </c>
      <c r="I108" s="8">
        <v>5.312276E7</v>
      </c>
      <c r="J108" s="10">
        <v>8.3E7</v>
      </c>
      <c r="K108" s="11"/>
      <c r="L108" s="10">
        <f t="shared" si="1"/>
        <v>83000000</v>
      </c>
      <c r="M108" s="12">
        <f>IFERROR(__xludf.DUMMYFUNCTION("+N108/L108"),0.51)</f>
        <v>0.51</v>
      </c>
      <c r="N108" s="13">
        <v>4.233E7</v>
      </c>
      <c r="O108" s="13">
        <f t="shared" si="2"/>
        <v>40670000</v>
      </c>
      <c r="P108" s="8" t="s">
        <v>62</v>
      </c>
      <c r="Q108" s="8">
        <v>10825.0</v>
      </c>
      <c r="R108" s="8">
        <v>12625.0</v>
      </c>
      <c r="S108" s="14">
        <v>45684.0</v>
      </c>
      <c r="T108" s="15" t="s">
        <v>587</v>
      </c>
      <c r="U108" s="14">
        <v>45688.0</v>
      </c>
      <c r="V108" s="8"/>
      <c r="W108" s="8">
        <v>303.0</v>
      </c>
      <c r="X108" s="8">
        <f t="shared" si="3"/>
        <v>303</v>
      </c>
      <c r="Y108" s="8">
        <v>57.33333333</v>
      </c>
      <c r="Z108" s="17">
        <f>VLOOKUP(F108,RANGOFECHAFINAL,25,FALSE)</f>
        <v>45988</v>
      </c>
      <c r="AA108" s="8" t="s">
        <v>192</v>
      </c>
      <c r="AB108" s="8" t="s">
        <v>263</v>
      </c>
      <c r="AC108" s="8" t="s">
        <v>42</v>
      </c>
      <c r="AD108" s="7"/>
    </row>
    <row r="109">
      <c r="A109" s="7">
        <v>127.0</v>
      </c>
      <c r="B109" s="7" t="s">
        <v>581</v>
      </c>
      <c r="C109" s="7" t="s">
        <v>598</v>
      </c>
      <c r="D109" s="7" t="s">
        <v>32</v>
      </c>
      <c r="E109" s="8" t="s">
        <v>583</v>
      </c>
      <c r="F109" s="8" t="s">
        <v>599</v>
      </c>
      <c r="G109" s="9" t="s">
        <v>600</v>
      </c>
      <c r="H109" s="8" t="s">
        <v>601</v>
      </c>
      <c r="I109" s="8">
        <v>8.005725E7</v>
      </c>
      <c r="J109" s="10">
        <v>2.0755E7</v>
      </c>
      <c r="K109" s="11">
        <v>1.5615667E7</v>
      </c>
      <c r="L109" s="10">
        <f t="shared" si="1"/>
        <v>36370667</v>
      </c>
      <c r="M109" s="12">
        <f>IFERROR(__xludf.DUMMYFUNCTION("+N109/L109"),0.8369565232334067)</f>
        <v>0.8369565232</v>
      </c>
      <c r="N109" s="13">
        <v>3.0440667E7</v>
      </c>
      <c r="O109" s="13">
        <f t="shared" si="2"/>
        <v>5930000</v>
      </c>
      <c r="P109" s="8" t="s">
        <v>228</v>
      </c>
      <c r="Q109" s="8">
        <v>13025.0</v>
      </c>
      <c r="R109" s="8">
        <v>12225.0</v>
      </c>
      <c r="S109" s="14">
        <v>45681.0</v>
      </c>
      <c r="T109" s="15" t="s">
        <v>587</v>
      </c>
      <c r="U109" s="14">
        <v>45688.0</v>
      </c>
      <c r="V109" s="8">
        <v>90.0</v>
      </c>
      <c r="W109" s="8">
        <v>104.0</v>
      </c>
      <c r="X109" s="8">
        <f t="shared" si="3"/>
        <v>194</v>
      </c>
      <c r="Y109" s="8">
        <v>100.0</v>
      </c>
      <c r="Z109" s="17">
        <f>VLOOKUP(F109,RANGOFECHAFINAL,25,FALSE)</f>
        <v>45838</v>
      </c>
      <c r="AA109" s="8" t="s">
        <v>489</v>
      </c>
      <c r="AB109" s="8" t="s">
        <v>453</v>
      </c>
      <c r="AC109" s="8" t="s">
        <v>42</v>
      </c>
      <c r="AD109" s="7"/>
    </row>
    <row r="110">
      <c r="A110" s="7">
        <v>128.0</v>
      </c>
      <c r="B110" s="7" t="s">
        <v>581</v>
      </c>
      <c r="C110" s="7" t="s">
        <v>602</v>
      </c>
      <c r="D110" s="7" t="s">
        <v>32</v>
      </c>
      <c r="E110" s="8" t="s">
        <v>583</v>
      </c>
      <c r="F110" s="8" t="s">
        <v>603</v>
      </c>
      <c r="G110" s="9" t="s">
        <v>604</v>
      </c>
      <c r="H110" s="8" t="s">
        <v>605</v>
      </c>
      <c r="I110" s="8" t="s">
        <v>606</v>
      </c>
      <c r="J110" s="10">
        <v>4.525E7</v>
      </c>
      <c r="K110" s="11"/>
      <c r="L110" s="10">
        <f t="shared" si="1"/>
        <v>45250000</v>
      </c>
      <c r="M110" s="12">
        <f>IFERROR(__xludf.DUMMYFUNCTION("+N110/L110"),0.41333332596685085)</f>
        <v>0.413333326</v>
      </c>
      <c r="N110" s="13">
        <v>1.8703333E7</v>
      </c>
      <c r="O110" s="13">
        <f t="shared" si="2"/>
        <v>26546667</v>
      </c>
      <c r="P110" s="8" t="s">
        <v>38</v>
      </c>
      <c r="Q110" s="8">
        <v>12625.0</v>
      </c>
      <c r="R110" s="8">
        <v>12325.0</v>
      </c>
      <c r="S110" s="14">
        <v>45681.0</v>
      </c>
      <c r="T110" s="15" t="s">
        <v>587</v>
      </c>
      <c r="U110" s="14">
        <v>45688.0</v>
      </c>
      <c r="V110" s="8"/>
      <c r="W110" s="8">
        <v>303.0</v>
      </c>
      <c r="X110" s="8">
        <f t="shared" si="3"/>
        <v>303</v>
      </c>
      <c r="Y110" s="8">
        <v>57.52508361</v>
      </c>
      <c r="Z110" s="17">
        <f>VLOOKUP(F110,RANGOFECHAFINAL,25,FALSE)</f>
        <v>45987</v>
      </c>
      <c r="AA110" s="8" t="s">
        <v>607</v>
      </c>
      <c r="AB110" s="8" t="s">
        <v>176</v>
      </c>
      <c r="AC110" s="8" t="s">
        <v>42</v>
      </c>
      <c r="AD110" s="7"/>
    </row>
    <row r="111">
      <c r="A111" s="7">
        <v>130.0</v>
      </c>
      <c r="B111" s="7" t="s">
        <v>581</v>
      </c>
      <c r="C111" s="7" t="s">
        <v>608</v>
      </c>
      <c r="D111" s="7" t="s">
        <v>32</v>
      </c>
      <c r="E111" s="8" t="s">
        <v>583</v>
      </c>
      <c r="F111" s="8" t="s">
        <v>609</v>
      </c>
      <c r="G111" s="9" t="s">
        <v>610</v>
      </c>
      <c r="H111" s="8" t="s">
        <v>611</v>
      </c>
      <c r="I111" s="8">
        <v>1.233490485E9</v>
      </c>
      <c r="J111" s="10">
        <v>5.0E7</v>
      </c>
      <c r="K111" s="11"/>
      <c r="L111" s="10">
        <f t="shared" si="1"/>
        <v>50000000</v>
      </c>
      <c r="M111" s="12">
        <f>IFERROR(__xludf.DUMMYFUNCTION("+N111/L111"),0.50666666)</f>
        <v>0.50666666</v>
      </c>
      <c r="N111" s="13">
        <v>2.5333333E7</v>
      </c>
      <c r="O111" s="13">
        <f t="shared" si="2"/>
        <v>24666667</v>
      </c>
      <c r="P111" s="8" t="s">
        <v>38</v>
      </c>
      <c r="Q111" s="8">
        <v>12925.0</v>
      </c>
      <c r="R111" s="8">
        <v>13625.0</v>
      </c>
      <c r="S111" s="14">
        <v>45684.0</v>
      </c>
      <c r="T111" s="15" t="s">
        <v>587</v>
      </c>
      <c r="U111" s="14">
        <v>45688.0</v>
      </c>
      <c r="V111" s="8"/>
      <c r="W111" s="8">
        <v>303.0</v>
      </c>
      <c r="X111" s="8">
        <f t="shared" si="3"/>
        <v>303</v>
      </c>
      <c r="Y111" s="8">
        <v>57.14285714</v>
      </c>
      <c r="Z111" s="17">
        <f>VLOOKUP(F111,RANGOFECHAFINAL,25,FALSE)</f>
        <v>45989</v>
      </c>
      <c r="AA111" s="8" t="s">
        <v>328</v>
      </c>
      <c r="AB111" s="8" t="s">
        <v>258</v>
      </c>
      <c r="AC111" s="8" t="s">
        <v>42</v>
      </c>
      <c r="AD111" s="7"/>
    </row>
    <row r="112">
      <c r="A112" s="7">
        <v>131.0</v>
      </c>
      <c r="B112" s="7" t="s">
        <v>581</v>
      </c>
      <c r="C112" s="7" t="s">
        <v>612</v>
      </c>
      <c r="D112" s="7" t="s">
        <v>32</v>
      </c>
      <c r="E112" s="8" t="s">
        <v>583</v>
      </c>
      <c r="F112" s="8" t="s">
        <v>613</v>
      </c>
      <c r="G112" s="9" t="s">
        <v>600</v>
      </c>
      <c r="H112" s="8" t="s">
        <v>614</v>
      </c>
      <c r="I112" s="8">
        <v>1.073384272E9</v>
      </c>
      <c r="J112" s="10">
        <v>1.91555E7</v>
      </c>
      <c r="K112" s="11">
        <v>1.4412233E7</v>
      </c>
      <c r="L112" s="10">
        <f t="shared" si="1"/>
        <v>33567733</v>
      </c>
      <c r="M112" s="12">
        <f>IFERROR(__xludf.DUMMYFUNCTION("+N112/L112"),0.8369565201200808)</f>
        <v>0.8369565201</v>
      </c>
      <c r="N112" s="13">
        <v>2.8094733E7</v>
      </c>
      <c r="O112" s="13">
        <f t="shared" si="2"/>
        <v>5473000</v>
      </c>
      <c r="P112" s="8" t="s">
        <v>228</v>
      </c>
      <c r="Q112" s="8">
        <v>13225.0</v>
      </c>
      <c r="R112" s="8">
        <v>12025.0</v>
      </c>
      <c r="S112" s="14">
        <v>45681.0</v>
      </c>
      <c r="T112" s="15" t="s">
        <v>587</v>
      </c>
      <c r="U112" s="14">
        <v>45688.0</v>
      </c>
      <c r="V112" s="8">
        <v>90.0</v>
      </c>
      <c r="W112" s="8">
        <v>104.0</v>
      </c>
      <c r="X112" s="8">
        <f t="shared" si="3"/>
        <v>194</v>
      </c>
      <c r="Y112" s="8">
        <v>100.0</v>
      </c>
      <c r="Z112" s="17">
        <f>VLOOKUP(F112,RANGOFECHAFINAL,25,FALSE)</f>
        <v>45838</v>
      </c>
      <c r="AA112" s="8" t="s">
        <v>489</v>
      </c>
      <c r="AB112" s="8" t="s">
        <v>453</v>
      </c>
      <c r="AC112" s="8" t="s">
        <v>42</v>
      </c>
      <c r="AD112" s="7"/>
    </row>
    <row r="113">
      <c r="A113" s="7">
        <v>132.0</v>
      </c>
      <c r="B113" s="7" t="s">
        <v>581</v>
      </c>
      <c r="C113" s="7" t="s">
        <v>615</v>
      </c>
      <c r="D113" s="7" t="s">
        <v>32</v>
      </c>
      <c r="E113" s="8" t="s">
        <v>583</v>
      </c>
      <c r="F113" s="8" t="s">
        <v>616</v>
      </c>
      <c r="G113" s="9" t="s">
        <v>617</v>
      </c>
      <c r="H113" s="8" t="s">
        <v>618</v>
      </c>
      <c r="I113" s="8">
        <v>1.010101135E9</v>
      </c>
      <c r="J113" s="10">
        <v>5.6749E7</v>
      </c>
      <c r="K113" s="11"/>
      <c r="L113" s="10">
        <f t="shared" si="1"/>
        <v>56749000</v>
      </c>
      <c r="M113" s="12">
        <f>IFERROR(__xludf.DUMMYFUNCTION("+N113/L113"),0.4636363636363636)</f>
        <v>0.4636363636</v>
      </c>
      <c r="N113" s="13">
        <v>2.63109E7</v>
      </c>
      <c r="O113" s="13">
        <f t="shared" si="2"/>
        <v>30438100</v>
      </c>
      <c r="P113" s="8" t="s">
        <v>77</v>
      </c>
      <c r="Q113" s="8">
        <v>11725.0</v>
      </c>
      <c r="R113" s="8">
        <v>13225.0</v>
      </c>
      <c r="S113" s="14">
        <v>45684.0</v>
      </c>
      <c r="T113" s="15" t="s">
        <v>587</v>
      </c>
      <c r="U113" s="14">
        <v>45688.0</v>
      </c>
      <c r="V113" s="8"/>
      <c r="W113" s="8">
        <v>333.0</v>
      </c>
      <c r="X113" s="8">
        <f t="shared" si="3"/>
        <v>333</v>
      </c>
      <c r="Y113" s="8">
        <v>52.12121212</v>
      </c>
      <c r="Z113" s="17">
        <f>VLOOKUP(F113,RANGOFECHAFINAL,25,FALSE)</f>
        <v>46018</v>
      </c>
      <c r="AA113" s="8" t="s">
        <v>619</v>
      </c>
      <c r="AB113" s="8" t="s">
        <v>537</v>
      </c>
      <c r="AC113" s="8" t="s">
        <v>42</v>
      </c>
      <c r="AD113" s="7"/>
    </row>
    <row r="114">
      <c r="A114" s="7">
        <v>133.0</v>
      </c>
      <c r="B114" s="7" t="s">
        <v>581</v>
      </c>
      <c r="C114" s="7" t="s">
        <v>620</v>
      </c>
      <c r="D114" s="7" t="s">
        <v>32</v>
      </c>
      <c r="E114" s="8" t="s">
        <v>583</v>
      </c>
      <c r="F114" s="8" t="s">
        <v>621</v>
      </c>
      <c r="G114" s="9" t="s">
        <v>622</v>
      </c>
      <c r="H114" s="8" t="s">
        <v>623</v>
      </c>
      <c r="I114" s="8">
        <v>1.096217701E9</v>
      </c>
      <c r="J114" s="10">
        <v>5.07E7</v>
      </c>
      <c r="K114" s="11"/>
      <c r="L114" s="10">
        <f t="shared" si="1"/>
        <v>50700000</v>
      </c>
      <c r="M114" s="12">
        <f>IFERROR(__xludf.DUMMYFUNCTION("+N114/L114"),0.1863905325443787)</f>
        <v>0.1863905325</v>
      </c>
      <c r="N114" s="13">
        <f>VLOOKUP(I114,PAGOSTOTALES,18,FALSE)</f>
        <v>9450000</v>
      </c>
      <c r="O114" s="13">
        <f t="shared" si="2"/>
        <v>41250000</v>
      </c>
      <c r="P114" s="8" t="s">
        <v>624</v>
      </c>
      <c r="Q114" s="8">
        <v>16625.0</v>
      </c>
      <c r="R114" s="8">
        <v>12425.0</v>
      </c>
      <c r="S114" s="14">
        <v>45681.0</v>
      </c>
      <c r="T114" s="15" t="s">
        <v>587</v>
      </c>
      <c r="U114" s="14">
        <v>45688.0</v>
      </c>
      <c r="V114" s="8"/>
      <c r="W114" s="8">
        <v>337.0</v>
      </c>
      <c r="X114" s="8">
        <f t="shared" si="3"/>
        <v>337</v>
      </c>
      <c r="Y114" s="8">
        <v>51.49700599</v>
      </c>
      <c r="Z114" s="17">
        <f>VLOOKUP(F114,RANGOFECHAFINAL,25,FALSE)</f>
        <v>46022</v>
      </c>
      <c r="AA114" s="8" t="s">
        <v>433</v>
      </c>
      <c r="AB114" s="8" t="s">
        <v>223</v>
      </c>
      <c r="AC114" s="8" t="s">
        <v>42</v>
      </c>
      <c r="AD114" s="7"/>
    </row>
    <row r="115">
      <c r="A115" s="7">
        <v>134.0</v>
      </c>
      <c r="B115" s="7" t="s">
        <v>581</v>
      </c>
      <c r="C115" s="7" t="s">
        <v>625</v>
      </c>
      <c r="D115" s="7" t="s">
        <v>32</v>
      </c>
      <c r="E115" s="8" t="s">
        <v>583</v>
      </c>
      <c r="F115" s="8" t="s">
        <v>626</v>
      </c>
      <c r="G115" s="9" t="s">
        <v>627</v>
      </c>
      <c r="H115" s="8" t="s">
        <v>628</v>
      </c>
      <c r="I115" s="8">
        <v>1.032460931E9</v>
      </c>
      <c r="J115" s="10">
        <v>4.1619E7</v>
      </c>
      <c r="K115" s="11"/>
      <c r="L115" s="10">
        <f t="shared" si="1"/>
        <v>41619000</v>
      </c>
      <c r="M115" s="12">
        <f>IFERROR(__xludf.DUMMYFUNCTION("+N115/L115"),0.41)</f>
        <v>0.41</v>
      </c>
      <c r="N115" s="13">
        <v>1.706379E7</v>
      </c>
      <c r="O115" s="13">
        <f t="shared" si="2"/>
        <v>24555210</v>
      </c>
      <c r="P115" s="8" t="s">
        <v>152</v>
      </c>
      <c r="Q115" s="8">
        <v>13625.0</v>
      </c>
      <c r="R115" s="8">
        <v>12825.0</v>
      </c>
      <c r="S115" s="14">
        <v>45684.0</v>
      </c>
      <c r="T115" s="15" t="s">
        <v>587</v>
      </c>
      <c r="U115" s="14">
        <v>45688.0</v>
      </c>
      <c r="V115" s="8"/>
      <c r="W115" s="8">
        <v>303.0</v>
      </c>
      <c r="X115" s="8">
        <f t="shared" si="3"/>
        <v>303</v>
      </c>
      <c r="Y115" s="8">
        <v>57.33333333</v>
      </c>
      <c r="Z115" s="17">
        <f>VLOOKUP(F115,RANGOFECHAFINAL,25,FALSE)</f>
        <v>45988</v>
      </c>
      <c r="AA115" s="8" t="s">
        <v>607</v>
      </c>
      <c r="AB115" s="8" t="s">
        <v>176</v>
      </c>
      <c r="AC115" s="8" t="s">
        <v>72</v>
      </c>
      <c r="AD115" s="7"/>
    </row>
    <row r="116">
      <c r="A116" s="7">
        <v>135.0</v>
      </c>
      <c r="B116" s="7" t="s">
        <v>581</v>
      </c>
      <c r="C116" s="7" t="s">
        <v>629</v>
      </c>
      <c r="D116" s="7" t="s">
        <v>32</v>
      </c>
      <c r="E116" s="8" t="s">
        <v>583</v>
      </c>
      <c r="F116" s="8" t="s">
        <v>630</v>
      </c>
      <c r="G116" s="9" t="s">
        <v>631</v>
      </c>
      <c r="H116" s="8" t="s">
        <v>632</v>
      </c>
      <c r="I116" s="8">
        <v>1.01020469E9</v>
      </c>
      <c r="J116" s="10">
        <v>1.506E8</v>
      </c>
      <c r="K116" s="11">
        <v>-900000.0</v>
      </c>
      <c r="L116" s="10">
        <f t="shared" si="1"/>
        <v>149700000</v>
      </c>
      <c r="M116" s="12">
        <f>IFERROR(__xludf.DUMMYFUNCTION("+N116/L116"),0.43887775551102204)</f>
        <v>0.4388777555</v>
      </c>
      <c r="N116" s="13">
        <v>6.57E7</v>
      </c>
      <c r="O116" s="13">
        <f t="shared" si="2"/>
        <v>84000000</v>
      </c>
      <c r="P116" s="27" t="s">
        <v>633</v>
      </c>
      <c r="Q116" s="28">
        <v>16825.0</v>
      </c>
      <c r="R116" s="25">
        <v>18325.0</v>
      </c>
      <c r="S116" s="26">
        <v>45691.0</v>
      </c>
      <c r="T116" s="25" t="s">
        <v>587</v>
      </c>
      <c r="U116" s="26">
        <v>45688.0</v>
      </c>
      <c r="V116" s="8"/>
      <c r="W116" s="27">
        <v>329.0</v>
      </c>
      <c r="X116" s="8">
        <f t="shared" si="3"/>
        <v>329</v>
      </c>
      <c r="Y116" s="8">
        <v>51.49700599</v>
      </c>
      <c r="Z116" s="17">
        <f>VLOOKUP(F116,RANGOFECHAFINAL,25,FALSE)</f>
        <v>46022</v>
      </c>
      <c r="AA116" s="8" t="s">
        <v>557</v>
      </c>
      <c r="AB116" s="8" t="s">
        <v>165</v>
      </c>
      <c r="AC116" s="8" t="s">
        <v>42</v>
      </c>
      <c r="AD116" s="7"/>
    </row>
    <row r="117">
      <c r="A117" s="7">
        <v>136.0</v>
      </c>
      <c r="B117" s="7" t="s">
        <v>581</v>
      </c>
      <c r="C117" s="7" t="s">
        <v>634</v>
      </c>
      <c r="D117" s="7" t="s">
        <v>32</v>
      </c>
      <c r="E117" s="8" t="s">
        <v>583</v>
      </c>
      <c r="F117" s="8" t="s">
        <v>635</v>
      </c>
      <c r="G117" s="9" t="s">
        <v>636</v>
      </c>
      <c r="H117" s="8" t="s">
        <v>637</v>
      </c>
      <c r="I117" s="8">
        <v>1.054679552E9</v>
      </c>
      <c r="J117" s="10">
        <v>7.3668E7</v>
      </c>
      <c r="K117" s="11"/>
      <c r="L117" s="10">
        <f t="shared" si="1"/>
        <v>73668000</v>
      </c>
      <c r="M117" s="12">
        <f>IFERROR(__xludf.DUMMYFUNCTION("+N117/L117"),0.5133333333333333)</f>
        <v>0.5133333333</v>
      </c>
      <c r="N117" s="13">
        <v>3.781624E7</v>
      </c>
      <c r="O117" s="13">
        <f t="shared" si="2"/>
        <v>35851760</v>
      </c>
      <c r="P117" s="8" t="s">
        <v>38</v>
      </c>
      <c r="Q117" s="8">
        <v>15525.0</v>
      </c>
      <c r="R117" s="8">
        <v>11725.0</v>
      </c>
      <c r="S117" s="14">
        <v>45681.0</v>
      </c>
      <c r="T117" s="15" t="s">
        <v>587</v>
      </c>
      <c r="U117" s="14">
        <v>45688.0</v>
      </c>
      <c r="V117" s="8"/>
      <c r="W117" s="8">
        <v>303.0</v>
      </c>
      <c r="X117" s="8">
        <f t="shared" si="3"/>
        <v>303</v>
      </c>
      <c r="Y117" s="8">
        <v>57.52508361</v>
      </c>
      <c r="Z117" s="17">
        <f>VLOOKUP(F117,RANGOFECHAFINAL,25,FALSE)</f>
        <v>45987</v>
      </c>
      <c r="AA117" s="8" t="s">
        <v>638</v>
      </c>
      <c r="AB117" s="8" t="s">
        <v>236</v>
      </c>
      <c r="AC117" s="8" t="s">
        <v>42</v>
      </c>
      <c r="AD117" s="7"/>
    </row>
    <row r="118">
      <c r="A118" s="7">
        <v>137.0</v>
      </c>
      <c r="B118" s="7" t="s">
        <v>581</v>
      </c>
      <c r="C118" s="7" t="s">
        <v>639</v>
      </c>
      <c r="D118" s="7" t="s">
        <v>32</v>
      </c>
      <c r="E118" s="8" t="s">
        <v>583</v>
      </c>
      <c r="F118" s="8" t="s">
        <v>640</v>
      </c>
      <c r="G118" s="9" t="s">
        <v>641</v>
      </c>
      <c r="H118" s="8" t="s">
        <v>642</v>
      </c>
      <c r="I118" s="8">
        <v>1.04962724E9</v>
      </c>
      <c r="J118" s="10">
        <v>6.26065E7</v>
      </c>
      <c r="K118" s="11">
        <v>6678027.0</v>
      </c>
      <c r="L118" s="10">
        <f t="shared" si="1"/>
        <v>69284527</v>
      </c>
      <c r="M118" s="12">
        <f>IFERROR(__xludf.DUMMYFUNCTION("+N118/L118"),0.45783132790962117)</f>
        <v>0.4578313279</v>
      </c>
      <c r="N118" s="13">
        <v>3.1720627E7</v>
      </c>
      <c r="O118" s="13">
        <f t="shared" si="2"/>
        <v>37563900</v>
      </c>
      <c r="P118" s="8" t="s">
        <v>53</v>
      </c>
      <c r="Q118" s="8">
        <v>12525.0</v>
      </c>
      <c r="R118" s="8">
        <v>13525.0</v>
      </c>
      <c r="S118" s="14">
        <v>45684.0</v>
      </c>
      <c r="T118" s="15" t="s">
        <v>587</v>
      </c>
      <c r="U118" s="14">
        <v>45688.0</v>
      </c>
      <c r="V118" s="8">
        <v>32.0</v>
      </c>
      <c r="W118" s="8">
        <v>303.0</v>
      </c>
      <c r="X118" s="8">
        <f t="shared" si="3"/>
        <v>335</v>
      </c>
      <c r="Y118" s="8">
        <v>51.49700599</v>
      </c>
      <c r="Z118" s="17">
        <f>VLOOKUP(F118,RANGOFECHAFINAL,25,FALSE)</f>
        <v>46022</v>
      </c>
      <c r="AA118" s="8" t="s">
        <v>257</v>
      </c>
      <c r="AB118" s="8" t="s">
        <v>258</v>
      </c>
      <c r="AC118" s="8" t="s">
        <v>42</v>
      </c>
      <c r="AD118" s="7"/>
    </row>
    <row r="119" hidden="1">
      <c r="A119" s="7"/>
      <c r="B119" s="7" t="s">
        <v>581</v>
      </c>
      <c r="C119" s="7" t="s">
        <v>643</v>
      </c>
      <c r="D119" s="7" t="s">
        <v>32</v>
      </c>
      <c r="E119" s="8" t="s">
        <v>644</v>
      </c>
      <c r="F119" s="8" t="s">
        <v>645</v>
      </c>
      <c r="G119" s="9" t="s">
        <v>646</v>
      </c>
      <c r="H119" s="8" t="s">
        <v>647</v>
      </c>
      <c r="I119" s="24">
        <v>9.01244985E8</v>
      </c>
      <c r="J119" s="10">
        <v>1.15349983E8</v>
      </c>
      <c r="K119" s="11"/>
      <c r="L119" s="10">
        <f t="shared" si="1"/>
        <v>115349983</v>
      </c>
      <c r="M119" s="12">
        <f>IFERROR(__xludf.DUMMYFUNCTION("+N119/L119"),0.5454545407258534)</f>
        <v>0.5454545407</v>
      </c>
      <c r="N119" s="13">
        <v>6.2918172E7</v>
      </c>
      <c r="O119" s="13">
        <f t="shared" si="2"/>
        <v>52431811</v>
      </c>
      <c r="P119" s="8" t="s">
        <v>648</v>
      </c>
      <c r="Q119" s="8">
        <v>9025.0</v>
      </c>
      <c r="R119" s="8">
        <v>11325.0</v>
      </c>
      <c r="S119" s="14">
        <v>45680.0</v>
      </c>
      <c r="T119" s="19">
        <v>45687.0</v>
      </c>
      <c r="U119" s="14">
        <v>45688.0</v>
      </c>
      <c r="V119" s="8"/>
      <c r="W119" s="8">
        <v>330.0</v>
      </c>
      <c r="X119" s="8">
        <f t="shared" si="3"/>
        <v>330</v>
      </c>
      <c r="Y119" s="8">
        <v>51.80722892</v>
      </c>
      <c r="Z119" s="23">
        <v>46020.0</v>
      </c>
      <c r="AA119" s="8" t="s">
        <v>268</v>
      </c>
      <c r="AB119" s="8" t="s">
        <v>41</v>
      </c>
      <c r="AC119" s="8" t="s">
        <v>42</v>
      </c>
      <c r="AD119" s="7"/>
    </row>
    <row r="120">
      <c r="A120" s="7">
        <v>138.0</v>
      </c>
      <c r="B120" s="7" t="s">
        <v>581</v>
      </c>
      <c r="C120" s="7" t="s">
        <v>649</v>
      </c>
      <c r="D120" s="7" t="s">
        <v>32</v>
      </c>
      <c r="E120" s="8" t="s">
        <v>583</v>
      </c>
      <c r="F120" s="8" t="s">
        <v>650</v>
      </c>
      <c r="G120" s="9" t="s">
        <v>651</v>
      </c>
      <c r="H120" s="8" t="s">
        <v>652</v>
      </c>
      <c r="I120" s="8">
        <v>5.2382217E7</v>
      </c>
      <c r="J120" s="10">
        <v>6.864E7</v>
      </c>
      <c r="K120" s="11">
        <v>624000.0</v>
      </c>
      <c r="L120" s="10">
        <f t="shared" si="1"/>
        <v>69264000</v>
      </c>
      <c r="M120" s="12">
        <f>IFERROR(__xludf.DUMMYFUNCTION("+N120/L120"),0.4594594594594595)</f>
        <v>0.4594594595</v>
      </c>
      <c r="N120" s="13">
        <v>3.1824E7</v>
      </c>
      <c r="O120" s="13">
        <f t="shared" si="2"/>
        <v>37440000</v>
      </c>
      <c r="P120" s="8" t="s">
        <v>53</v>
      </c>
      <c r="Q120" s="8">
        <v>13425.0</v>
      </c>
      <c r="R120" s="8">
        <v>13325.0</v>
      </c>
      <c r="S120" s="14">
        <v>45681.0</v>
      </c>
      <c r="T120" s="15" t="s">
        <v>587</v>
      </c>
      <c r="U120" s="14">
        <v>45688.0</v>
      </c>
      <c r="V120" s="8">
        <v>3.0</v>
      </c>
      <c r="W120" s="8">
        <v>333.0</v>
      </c>
      <c r="X120" s="8">
        <f t="shared" si="3"/>
        <v>336</v>
      </c>
      <c r="Y120" s="8">
        <v>51.49700599</v>
      </c>
      <c r="Z120" s="17">
        <f>VLOOKUP(F120,RANGOFECHAFINAL,25,FALSE)</f>
        <v>46022</v>
      </c>
      <c r="AA120" s="8" t="s">
        <v>257</v>
      </c>
      <c r="AB120" s="8" t="s">
        <v>258</v>
      </c>
      <c r="AC120" s="8" t="s">
        <v>42</v>
      </c>
      <c r="AD120" s="7"/>
    </row>
    <row r="121">
      <c r="A121" s="7">
        <v>139.0</v>
      </c>
      <c r="B121" s="7" t="s">
        <v>581</v>
      </c>
      <c r="C121" s="7" t="s">
        <v>653</v>
      </c>
      <c r="D121" s="7" t="s">
        <v>32</v>
      </c>
      <c r="E121" s="8" t="s">
        <v>583</v>
      </c>
      <c r="F121" s="8" t="s">
        <v>654</v>
      </c>
      <c r="G121" s="9" t="s">
        <v>655</v>
      </c>
      <c r="H121" s="8" t="s">
        <v>656</v>
      </c>
      <c r="I121" s="8">
        <v>1.01428721E9</v>
      </c>
      <c r="J121" s="10">
        <v>8.5E7</v>
      </c>
      <c r="K121" s="11"/>
      <c r="L121" s="10">
        <f t="shared" si="1"/>
        <v>85000000</v>
      </c>
      <c r="M121" s="12">
        <f>IFERROR(__xludf.DUMMYFUNCTION("+N121/L121"),0.4335641176470588)</f>
        <v>0.4335641176</v>
      </c>
      <c r="N121" s="13">
        <v>3.685295E7</v>
      </c>
      <c r="O121" s="13">
        <f t="shared" si="2"/>
        <v>48147050</v>
      </c>
      <c r="P121" s="8" t="s">
        <v>91</v>
      </c>
      <c r="Q121" s="8">
        <v>15325.0</v>
      </c>
      <c r="R121" s="8">
        <v>12525.0</v>
      </c>
      <c r="S121" s="14">
        <v>45684.0</v>
      </c>
      <c r="T121" s="15" t="s">
        <v>587</v>
      </c>
      <c r="U121" s="14">
        <v>45688.0</v>
      </c>
      <c r="V121" s="8"/>
      <c r="W121" s="8">
        <v>333.0</v>
      </c>
      <c r="X121" s="8">
        <f t="shared" si="3"/>
        <v>333</v>
      </c>
      <c r="Y121" s="8">
        <v>52.12121212</v>
      </c>
      <c r="Z121" s="17">
        <f>VLOOKUP(F121,RANGOFECHAFINAL,25,FALSE)</f>
        <v>46018</v>
      </c>
      <c r="AA121" s="8" t="s">
        <v>657</v>
      </c>
      <c r="AB121" s="8" t="s">
        <v>537</v>
      </c>
      <c r="AC121" s="8" t="s">
        <v>42</v>
      </c>
      <c r="AD121" s="7"/>
    </row>
    <row r="122">
      <c r="A122" s="7">
        <v>140.0</v>
      </c>
      <c r="B122" s="7" t="s">
        <v>581</v>
      </c>
      <c r="C122" s="7" t="s">
        <v>658</v>
      </c>
      <c r="D122" s="7" t="s">
        <v>32</v>
      </c>
      <c r="E122" s="8" t="s">
        <v>583</v>
      </c>
      <c r="F122" s="8" t="s">
        <v>659</v>
      </c>
      <c r="G122" s="9" t="s">
        <v>600</v>
      </c>
      <c r="H122" s="8" t="s">
        <v>660</v>
      </c>
      <c r="I122" s="8">
        <v>4.2145409E7</v>
      </c>
      <c r="J122" s="10">
        <v>1.91555E7</v>
      </c>
      <c r="K122" s="11">
        <v>-2189200.0</v>
      </c>
      <c r="L122" s="10">
        <f t="shared" si="1"/>
        <v>16966300</v>
      </c>
      <c r="M122" s="12">
        <f>IFERROR(__xludf.DUMMYFUNCTION("+N122/L122"),1.0)</f>
        <v>1</v>
      </c>
      <c r="N122" s="13">
        <v>1.69663E7</v>
      </c>
      <c r="O122" s="13">
        <f t="shared" si="2"/>
        <v>0</v>
      </c>
      <c r="P122" s="8" t="s">
        <v>228</v>
      </c>
      <c r="Q122" s="8">
        <v>13125.0</v>
      </c>
      <c r="R122" s="8">
        <v>12925.0</v>
      </c>
      <c r="S122" s="14">
        <v>45684.0</v>
      </c>
      <c r="T122" s="15" t="s">
        <v>587</v>
      </c>
      <c r="U122" s="14">
        <v>45688.0</v>
      </c>
      <c r="V122" s="8"/>
      <c r="W122" s="8">
        <v>104.0</v>
      </c>
      <c r="X122" s="8">
        <f t="shared" si="3"/>
        <v>104</v>
      </c>
      <c r="Y122" s="8">
        <v>100.0</v>
      </c>
      <c r="Z122" s="18">
        <v>45789.0</v>
      </c>
      <c r="AA122" s="8" t="s">
        <v>489</v>
      </c>
      <c r="AB122" s="8" t="s">
        <v>453</v>
      </c>
      <c r="AC122" s="8" t="s">
        <v>661</v>
      </c>
      <c r="AD122" s="7"/>
    </row>
    <row r="123">
      <c r="A123" s="7">
        <v>141.0</v>
      </c>
      <c r="B123" s="7" t="s">
        <v>581</v>
      </c>
      <c r="C123" s="7" t="s">
        <v>662</v>
      </c>
      <c r="D123" s="7" t="s">
        <v>32</v>
      </c>
      <c r="E123" s="8" t="s">
        <v>583</v>
      </c>
      <c r="F123" s="8" t="s">
        <v>663</v>
      </c>
      <c r="G123" s="9" t="s">
        <v>664</v>
      </c>
      <c r="H123" s="8" t="s">
        <v>665</v>
      </c>
      <c r="I123" s="8">
        <v>1.019065789E9</v>
      </c>
      <c r="J123" s="10">
        <v>3.1333745E7</v>
      </c>
      <c r="K123" s="11">
        <v>3.1333745E7</v>
      </c>
      <c r="L123" s="10">
        <f t="shared" si="1"/>
        <v>62667490</v>
      </c>
      <c r="M123" s="12">
        <f>IFERROR(__xludf.DUMMYFUNCTION("+N123/L123"),0.5714285668693608)</f>
        <v>0.5714285669</v>
      </c>
      <c r="N123" s="13">
        <v>3.5809994E7</v>
      </c>
      <c r="O123" s="13">
        <f t="shared" si="2"/>
        <v>26857496</v>
      </c>
      <c r="P123" s="8" t="s">
        <v>111</v>
      </c>
      <c r="Q123" s="8">
        <v>9425.0</v>
      </c>
      <c r="R123" s="8">
        <v>13925.0</v>
      </c>
      <c r="S123" s="14">
        <v>45684.0</v>
      </c>
      <c r="T123" s="15" t="s">
        <v>587</v>
      </c>
      <c r="U123" s="14">
        <v>45691.0</v>
      </c>
      <c r="V123" s="8">
        <v>133.0</v>
      </c>
      <c r="W123" s="8">
        <v>133.0</v>
      </c>
      <c r="X123" s="8">
        <f t="shared" si="3"/>
        <v>266</v>
      </c>
      <c r="Y123" s="8">
        <v>64.25855513</v>
      </c>
      <c r="Z123" s="17">
        <f>VLOOKUP(F123,RANGOFECHAFINAL,25,FALSE)</f>
        <v>45954</v>
      </c>
      <c r="AA123" s="8" t="s">
        <v>666</v>
      </c>
      <c r="AB123" s="8" t="s">
        <v>667</v>
      </c>
      <c r="AC123" s="8" t="s">
        <v>42</v>
      </c>
      <c r="AD123" s="7"/>
    </row>
    <row r="124">
      <c r="A124" s="7">
        <v>142.0</v>
      </c>
      <c r="B124" s="7" t="s">
        <v>581</v>
      </c>
      <c r="C124" s="7" t="s">
        <v>668</v>
      </c>
      <c r="D124" s="7" t="s">
        <v>32</v>
      </c>
      <c r="E124" s="8" t="s">
        <v>583</v>
      </c>
      <c r="F124" s="8" t="s">
        <v>669</v>
      </c>
      <c r="G124" s="9" t="s">
        <v>670</v>
      </c>
      <c r="H124" s="8" t="s">
        <v>671</v>
      </c>
      <c r="I124" s="8">
        <v>7.9972544E7</v>
      </c>
      <c r="J124" s="10">
        <v>5.832E7</v>
      </c>
      <c r="K124" s="11"/>
      <c r="L124" s="10">
        <f t="shared" si="1"/>
        <v>58320000</v>
      </c>
      <c r="M124" s="12">
        <f>IFERROR(__xludf.DUMMYFUNCTION("+N124/L124"),0.6333333333333333)</f>
        <v>0.6333333333</v>
      </c>
      <c r="N124" s="13">
        <v>3.6936E7</v>
      </c>
      <c r="O124" s="13">
        <f t="shared" si="2"/>
        <v>21384000</v>
      </c>
      <c r="P124" s="8" t="s">
        <v>62</v>
      </c>
      <c r="Q124" s="8">
        <v>10925.0</v>
      </c>
      <c r="R124" s="8">
        <v>13825.0</v>
      </c>
      <c r="S124" s="14">
        <v>45684.0</v>
      </c>
      <c r="T124" s="15" t="s">
        <v>587</v>
      </c>
      <c r="U124" s="14">
        <v>45694.0</v>
      </c>
      <c r="V124" s="8"/>
      <c r="W124" s="8">
        <v>242.0</v>
      </c>
      <c r="X124" s="8">
        <f t="shared" si="3"/>
        <v>242</v>
      </c>
      <c r="Y124" s="8">
        <v>70.94017094</v>
      </c>
      <c r="Z124" s="17">
        <f>VLOOKUP(F124,RANGOFECHAFINAL,25,FALSE)</f>
        <v>45928</v>
      </c>
      <c r="AA124" s="8" t="s">
        <v>672</v>
      </c>
      <c r="AB124" s="8" t="s">
        <v>193</v>
      </c>
      <c r="AC124" s="8" t="s">
        <v>42</v>
      </c>
      <c r="AD124" s="7"/>
    </row>
    <row r="125">
      <c r="A125" s="7">
        <v>143.0</v>
      </c>
      <c r="B125" s="7" t="s">
        <v>581</v>
      </c>
      <c r="C125" s="7" t="s">
        <v>673</v>
      </c>
      <c r="D125" s="7" t="s">
        <v>32</v>
      </c>
      <c r="E125" s="8" t="s">
        <v>583</v>
      </c>
      <c r="F125" s="8" t="s">
        <v>674</v>
      </c>
      <c r="G125" s="9" t="s">
        <v>675</v>
      </c>
      <c r="H125" s="8" t="s">
        <v>676</v>
      </c>
      <c r="I125" s="8">
        <v>1.020751785E9</v>
      </c>
      <c r="J125" s="10">
        <v>3.6E7</v>
      </c>
      <c r="K125" s="11"/>
      <c r="L125" s="10">
        <f t="shared" si="1"/>
        <v>36000000</v>
      </c>
      <c r="M125" s="12">
        <f>IFERROR(__xludf.DUMMYFUNCTION("+N125/L125"),0.8444444444444444)</f>
        <v>0.8444444444</v>
      </c>
      <c r="N125" s="13">
        <v>3.04E7</v>
      </c>
      <c r="O125" s="13">
        <f t="shared" si="2"/>
        <v>5600000</v>
      </c>
      <c r="P125" s="8" t="s">
        <v>191</v>
      </c>
      <c r="Q125" s="8">
        <v>12125.0</v>
      </c>
      <c r="R125" s="8">
        <v>14025.0</v>
      </c>
      <c r="S125" s="14">
        <v>45684.0</v>
      </c>
      <c r="T125" s="15" t="s">
        <v>587</v>
      </c>
      <c r="U125" s="14">
        <v>45688.0</v>
      </c>
      <c r="V125" s="8"/>
      <c r="W125" s="8">
        <v>180.0</v>
      </c>
      <c r="X125" s="8">
        <f t="shared" si="3"/>
        <v>180</v>
      </c>
      <c r="Y125" s="8">
        <v>96.62921348</v>
      </c>
      <c r="Z125" s="17">
        <f>VLOOKUP(F125,RANGOFECHAFINAL,25,FALSE)</f>
        <v>45866</v>
      </c>
      <c r="AA125" s="8" t="s">
        <v>375</v>
      </c>
      <c r="AB125" s="8" t="s">
        <v>106</v>
      </c>
      <c r="AC125" s="8" t="s">
        <v>42</v>
      </c>
      <c r="AD125" s="7"/>
    </row>
    <row r="126">
      <c r="A126" s="7">
        <v>144.0</v>
      </c>
      <c r="B126" s="7" t="s">
        <v>581</v>
      </c>
      <c r="C126" s="7" t="s">
        <v>677</v>
      </c>
      <c r="D126" s="7" t="s">
        <v>32</v>
      </c>
      <c r="E126" s="8" t="s">
        <v>583</v>
      </c>
      <c r="F126" s="8" t="s">
        <v>678</v>
      </c>
      <c r="G126" s="9" t="s">
        <v>679</v>
      </c>
      <c r="H126" s="8" t="s">
        <v>680</v>
      </c>
      <c r="I126" s="8">
        <v>1.024554244E9</v>
      </c>
      <c r="J126" s="10">
        <v>5.61E7</v>
      </c>
      <c r="K126" s="11"/>
      <c r="L126" s="10">
        <f t="shared" si="1"/>
        <v>56100000</v>
      </c>
      <c r="M126" s="12">
        <f>IFERROR(__xludf.DUMMYFUNCTION("+N126/L126"),0.4636363636363636)</f>
        <v>0.4636363636</v>
      </c>
      <c r="N126" s="13">
        <v>2.601E7</v>
      </c>
      <c r="O126" s="13">
        <f t="shared" si="2"/>
        <v>30090000</v>
      </c>
      <c r="P126" s="8" t="s">
        <v>62</v>
      </c>
      <c r="Q126" s="8">
        <v>11025.0</v>
      </c>
      <c r="R126" s="8">
        <v>12725.0</v>
      </c>
      <c r="S126" s="14">
        <v>45684.0</v>
      </c>
      <c r="T126" s="15" t="s">
        <v>587</v>
      </c>
      <c r="U126" s="14">
        <v>45688.0</v>
      </c>
      <c r="V126" s="8"/>
      <c r="W126" s="8">
        <v>333.0</v>
      </c>
      <c r="X126" s="8">
        <f t="shared" si="3"/>
        <v>333</v>
      </c>
      <c r="Y126" s="8">
        <v>52.12121212</v>
      </c>
      <c r="Z126" s="17">
        <f>VLOOKUP(F126,RANGOFECHAFINAL,25,FALSE)</f>
        <v>46018</v>
      </c>
      <c r="AA126" s="8" t="s">
        <v>672</v>
      </c>
      <c r="AB126" s="8" t="s">
        <v>193</v>
      </c>
      <c r="AC126" s="8" t="s">
        <v>42</v>
      </c>
      <c r="AD126" s="7"/>
    </row>
    <row r="127">
      <c r="A127" s="7">
        <v>145.0</v>
      </c>
      <c r="B127" s="7" t="s">
        <v>581</v>
      </c>
      <c r="C127" s="7" t="s">
        <v>681</v>
      </c>
      <c r="D127" s="7" t="s">
        <v>32</v>
      </c>
      <c r="E127" s="8" t="s">
        <v>583</v>
      </c>
      <c r="F127" s="8" t="s">
        <v>682</v>
      </c>
      <c r="G127" s="9" t="s">
        <v>683</v>
      </c>
      <c r="H127" s="8" t="s">
        <v>684</v>
      </c>
      <c r="I127" s="8">
        <v>5.3134639E7</v>
      </c>
      <c r="J127" s="10">
        <v>9.9E7</v>
      </c>
      <c r="K127" s="11"/>
      <c r="L127" s="10">
        <f t="shared" si="1"/>
        <v>99000000</v>
      </c>
      <c r="M127" s="12">
        <f>IFERROR(__xludf.DUMMYFUNCTION("+N127/L127"),0.4636363636363636)</f>
        <v>0.4636363636</v>
      </c>
      <c r="N127" s="13">
        <v>4.59E7</v>
      </c>
      <c r="O127" s="13">
        <f t="shared" si="2"/>
        <v>53100000</v>
      </c>
      <c r="P127" s="8" t="s">
        <v>203</v>
      </c>
      <c r="Q127" s="8">
        <v>16125.0</v>
      </c>
      <c r="R127" s="8">
        <v>13025.0</v>
      </c>
      <c r="S127" s="14">
        <v>45684.0</v>
      </c>
      <c r="T127" s="15" t="s">
        <v>587</v>
      </c>
      <c r="U127" s="14">
        <v>45693.0</v>
      </c>
      <c r="V127" s="8"/>
      <c r="W127" s="8">
        <v>333.0</v>
      </c>
      <c r="X127" s="8">
        <f t="shared" si="3"/>
        <v>333</v>
      </c>
      <c r="Y127" s="8">
        <v>51.38461538</v>
      </c>
      <c r="Z127" s="17">
        <f>VLOOKUP(F127,RANGOFECHAFINAL,25,FALSE)</f>
        <v>46018</v>
      </c>
      <c r="AA127" s="8" t="s">
        <v>685</v>
      </c>
      <c r="AB127" s="8" t="s">
        <v>205</v>
      </c>
      <c r="AC127" s="8" t="s">
        <v>42</v>
      </c>
      <c r="AD127" s="7"/>
    </row>
    <row r="128">
      <c r="A128" s="7">
        <v>146.0</v>
      </c>
      <c r="B128" s="7" t="s">
        <v>581</v>
      </c>
      <c r="C128" s="7" t="s">
        <v>686</v>
      </c>
      <c r="D128" s="7" t="s">
        <v>32</v>
      </c>
      <c r="E128" s="8" t="s">
        <v>583</v>
      </c>
      <c r="F128" s="8" t="s">
        <v>687</v>
      </c>
      <c r="G128" s="9" t="s">
        <v>688</v>
      </c>
      <c r="H128" s="8" t="s">
        <v>689</v>
      </c>
      <c r="I128" s="8">
        <v>1.069759231E9</v>
      </c>
      <c r="J128" s="10">
        <v>9.00116E7</v>
      </c>
      <c r="K128" s="11">
        <v>-2117920.0</v>
      </c>
      <c r="L128" s="10">
        <f t="shared" si="1"/>
        <v>87893680</v>
      </c>
      <c r="M128" s="12">
        <f>IFERROR(__xludf.DUMMYFUNCTION("+N128/L128"),0.4578313253012048)</f>
        <v>0.4578313253</v>
      </c>
      <c r="N128" s="13">
        <v>4.024048E7</v>
      </c>
      <c r="O128" s="13">
        <f t="shared" si="2"/>
        <v>47653200</v>
      </c>
      <c r="P128" s="8" t="s">
        <v>111</v>
      </c>
      <c r="Q128" s="8">
        <v>15225.0</v>
      </c>
      <c r="R128" s="8">
        <v>13425.0</v>
      </c>
      <c r="S128" s="14">
        <v>45684.0</v>
      </c>
      <c r="T128" s="15" t="s">
        <v>587</v>
      </c>
      <c r="U128" s="14">
        <v>45688.0</v>
      </c>
      <c r="V128" s="8"/>
      <c r="W128" s="8">
        <v>336.0</v>
      </c>
      <c r="X128" s="8">
        <f t="shared" si="3"/>
        <v>336</v>
      </c>
      <c r="Y128" s="8">
        <v>51.49700599</v>
      </c>
      <c r="Z128" s="17">
        <f>VLOOKUP(F128,RANGOFECHAFINAL,25,FALSE)</f>
        <v>46022</v>
      </c>
      <c r="AA128" s="8" t="s">
        <v>666</v>
      </c>
      <c r="AB128" s="8" t="s">
        <v>667</v>
      </c>
      <c r="AC128" s="8" t="s">
        <v>42</v>
      </c>
      <c r="AD128" s="7"/>
    </row>
    <row r="129">
      <c r="A129" s="7">
        <v>147.0</v>
      </c>
      <c r="B129" s="7" t="s">
        <v>581</v>
      </c>
      <c r="C129" s="7" t="s">
        <v>690</v>
      </c>
      <c r="D129" s="7" t="s">
        <v>32</v>
      </c>
      <c r="E129" s="8" t="s">
        <v>583</v>
      </c>
      <c r="F129" s="8" t="s">
        <v>691</v>
      </c>
      <c r="G129" s="9" t="s">
        <v>692</v>
      </c>
      <c r="H129" s="8" t="s">
        <v>693</v>
      </c>
      <c r="I129" s="8">
        <v>1.13065411E9</v>
      </c>
      <c r="J129" s="10">
        <v>9.9E7</v>
      </c>
      <c r="K129" s="11">
        <v>-5.34E7</v>
      </c>
      <c r="L129" s="10">
        <f t="shared" si="1"/>
        <v>45600000</v>
      </c>
      <c r="M129" s="12">
        <f>IFERROR(__xludf.DUMMYFUNCTION("+N129/L129"),0.6052631578947368)</f>
        <v>0.6052631579</v>
      </c>
      <c r="N129" s="13">
        <v>2.76E7</v>
      </c>
      <c r="O129" s="13">
        <f t="shared" si="2"/>
        <v>18000000</v>
      </c>
      <c r="P129" s="8" t="s">
        <v>210</v>
      </c>
      <c r="Q129" s="8">
        <v>16025.0</v>
      </c>
      <c r="R129" s="8">
        <v>13725.0</v>
      </c>
      <c r="S129" s="14">
        <v>45684.0</v>
      </c>
      <c r="T129" s="15" t="s">
        <v>587</v>
      </c>
      <c r="U129" s="14">
        <v>45691.0</v>
      </c>
      <c r="V129" s="8"/>
      <c r="W129" s="8">
        <v>333.0</v>
      </c>
      <c r="X129" s="8">
        <f t="shared" si="3"/>
        <v>333</v>
      </c>
      <c r="Y129" s="8">
        <v>51.52439024</v>
      </c>
      <c r="Z129" s="17">
        <f>VLOOKUP(F129,RANGOFECHAFINAL,25,FALSE)</f>
        <v>46019</v>
      </c>
      <c r="AA129" s="8" t="s">
        <v>127</v>
      </c>
      <c r="AB129" s="8" t="s">
        <v>205</v>
      </c>
      <c r="AC129" s="8" t="s">
        <v>72</v>
      </c>
      <c r="AD129" s="7"/>
    </row>
    <row r="130">
      <c r="A130" s="7">
        <v>148.0</v>
      </c>
      <c r="B130" s="7" t="s">
        <v>581</v>
      </c>
      <c r="C130" s="7" t="s">
        <v>694</v>
      </c>
      <c r="D130" s="7" t="s">
        <v>32</v>
      </c>
      <c r="E130" s="8" t="s">
        <v>583</v>
      </c>
      <c r="F130" s="8" t="s">
        <v>695</v>
      </c>
      <c r="G130" s="9" t="s">
        <v>696</v>
      </c>
      <c r="H130" s="8" t="s">
        <v>697</v>
      </c>
      <c r="I130" s="8">
        <v>1.032414974E9</v>
      </c>
      <c r="J130" s="10">
        <v>4.95E7</v>
      </c>
      <c r="K130" s="11">
        <v>-600000.0</v>
      </c>
      <c r="L130" s="10">
        <f t="shared" si="1"/>
        <v>48900000</v>
      </c>
      <c r="M130" s="12">
        <f>IFERROR(__xludf.DUMMYFUNCTION("+N130/L130"),0.44785276073619634)</f>
        <v>0.4478527607</v>
      </c>
      <c r="N130" s="13">
        <v>2.19E7</v>
      </c>
      <c r="O130" s="13">
        <f t="shared" si="2"/>
        <v>27000000</v>
      </c>
      <c r="P130" s="8" t="s">
        <v>77</v>
      </c>
      <c r="Q130" s="8">
        <v>17125.0</v>
      </c>
      <c r="R130" s="8">
        <v>18525.0</v>
      </c>
      <c r="S130" s="14">
        <v>45691.0</v>
      </c>
      <c r="T130" s="15" t="s">
        <v>587</v>
      </c>
      <c r="U130" s="14">
        <v>45691.0</v>
      </c>
      <c r="V130" s="8"/>
      <c r="W130" s="8">
        <v>329.0</v>
      </c>
      <c r="X130" s="8">
        <f t="shared" si="3"/>
        <v>329</v>
      </c>
      <c r="Y130" s="8">
        <v>51.05740181</v>
      </c>
      <c r="Z130" s="17">
        <f>VLOOKUP(F130,RANGOFECHAFINAL,25,FALSE)</f>
        <v>46022</v>
      </c>
      <c r="AA130" s="8" t="s">
        <v>698</v>
      </c>
      <c r="AB130" s="8" t="s">
        <v>193</v>
      </c>
      <c r="AC130" s="8" t="s">
        <v>42</v>
      </c>
      <c r="AD130" s="7"/>
    </row>
    <row r="131">
      <c r="A131" s="7">
        <v>149.0</v>
      </c>
      <c r="B131" s="7" t="s">
        <v>581</v>
      </c>
      <c r="C131" s="7" t="s">
        <v>699</v>
      </c>
      <c r="D131" s="7" t="s">
        <v>32</v>
      </c>
      <c r="E131" s="8" t="s">
        <v>583</v>
      </c>
      <c r="F131" s="8" t="s">
        <v>700</v>
      </c>
      <c r="G131" s="9" t="s">
        <v>701</v>
      </c>
      <c r="H131" s="8" t="s">
        <v>702</v>
      </c>
      <c r="I131" s="8">
        <v>7.9217264E7</v>
      </c>
      <c r="J131" s="10">
        <v>5.9844E7</v>
      </c>
      <c r="K131" s="11"/>
      <c r="L131" s="10">
        <f t="shared" si="1"/>
        <v>59844000</v>
      </c>
      <c r="M131" s="12">
        <f>IFERROR(__xludf.DUMMYFUNCTION("+N131/L131"),0.44913845999598956)</f>
        <v>0.44913846</v>
      </c>
      <c r="N131" s="13">
        <v>2.6878242E7</v>
      </c>
      <c r="O131" s="13">
        <f t="shared" si="2"/>
        <v>32965758</v>
      </c>
      <c r="P131" s="8" t="s">
        <v>191</v>
      </c>
      <c r="Q131" s="8">
        <v>12325.0</v>
      </c>
      <c r="R131" s="8">
        <v>16025.0</v>
      </c>
      <c r="S131" s="14">
        <v>45686.0</v>
      </c>
      <c r="T131" s="15" t="s">
        <v>587</v>
      </c>
      <c r="U131" s="19">
        <v>45688.0</v>
      </c>
      <c r="V131" s="8"/>
      <c r="W131" s="8">
        <v>333.0</v>
      </c>
      <c r="X131" s="8">
        <f t="shared" si="3"/>
        <v>333</v>
      </c>
      <c r="Y131" s="8">
        <v>51.65165165</v>
      </c>
      <c r="Z131" s="17">
        <f>VLOOKUP(F131,RANGOFECHAFINAL,25,FALSE)</f>
        <v>46021</v>
      </c>
      <c r="AA131" s="8" t="s">
        <v>657</v>
      </c>
      <c r="AB131" s="8" t="s">
        <v>537</v>
      </c>
      <c r="AC131" s="8" t="s">
        <v>42</v>
      </c>
      <c r="AD131" s="7"/>
    </row>
    <row r="132">
      <c r="A132" s="7">
        <v>150.0</v>
      </c>
      <c r="B132" s="7" t="s">
        <v>581</v>
      </c>
      <c r="C132" s="7" t="s">
        <v>703</v>
      </c>
      <c r="D132" s="7" t="s">
        <v>32</v>
      </c>
      <c r="E132" s="8" t="s">
        <v>583</v>
      </c>
      <c r="F132" s="8" t="s">
        <v>704</v>
      </c>
      <c r="G132" s="9" t="s">
        <v>705</v>
      </c>
      <c r="H132" s="8" t="s">
        <v>706</v>
      </c>
      <c r="I132" s="8">
        <v>1.052394569E9</v>
      </c>
      <c r="J132" s="10">
        <v>4.37796E7</v>
      </c>
      <c r="K132" s="11"/>
      <c r="L132" s="10">
        <f t="shared" si="1"/>
        <v>43779600</v>
      </c>
      <c r="M132" s="12">
        <f>IFERROR(__xludf.DUMMYFUNCTION("+N132/L132"),0.8333333333333334)</f>
        <v>0.8333333333</v>
      </c>
      <c r="N132" s="13">
        <v>3.6483E7</v>
      </c>
      <c r="O132" s="13">
        <f t="shared" si="2"/>
        <v>7296600</v>
      </c>
      <c r="P132" s="8" t="s">
        <v>53</v>
      </c>
      <c r="Q132" s="8">
        <v>13725.0</v>
      </c>
      <c r="R132" s="8">
        <v>14625.0</v>
      </c>
      <c r="S132" s="14">
        <v>45685.0</v>
      </c>
      <c r="T132" s="15" t="s">
        <v>587</v>
      </c>
      <c r="U132" s="14">
        <v>45688.0</v>
      </c>
      <c r="V132" s="8"/>
      <c r="W132" s="8">
        <v>179.0</v>
      </c>
      <c r="X132" s="8">
        <f t="shared" si="3"/>
        <v>179</v>
      </c>
      <c r="Y132" s="8">
        <v>96.08938547</v>
      </c>
      <c r="Z132" s="17">
        <f>VLOOKUP(F132,RANGOFECHAFINAL,25,FALSE)</f>
        <v>45867</v>
      </c>
      <c r="AA132" s="8" t="s">
        <v>707</v>
      </c>
      <c r="AB132" s="8" t="s">
        <v>182</v>
      </c>
      <c r="AC132" s="8" t="s">
        <v>42</v>
      </c>
      <c r="AD132" s="7"/>
    </row>
    <row r="133">
      <c r="A133" s="7">
        <v>151.0</v>
      </c>
      <c r="B133" s="7" t="s">
        <v>581</v>
      </c>
      <c r="C133" s="7" t="s">
        <v>708</v>
      </c>
      <c r="D133" s="7" t="s">
        <v>32</v>
      </c>
      <c r="E133" s="8" t="s">
        <v>583</v>
      </c>
      <c r="F133" s="8" t="s">
        <v>709</v>
      </c>
      <c r="G133" s="9" t="s">
        <v>710</v>
      </c>
      <c r="H133" s="8" t="s">
        <v>711</v>
      </c>
      <c r="I133" s="8">
        <v>1.032461718E9</v>
      </c>
      <c r="J133" s="10">
        <v>4.37796E7</v>
      </c>
      <c r="K133" s="11"/>
      <c r="L133" s="10">
        <f t="shared" si="1"/>
        <v>43779600</v>
      </c>
      <c r="M133" s="12">
        <f>IFERROR(__xludf.DUMMYFUNCTION("+N133/L133"),0.8333333333333334)</f>
        <v>0.8333333333</v>
      </c>
      <c r="N133" s="13">
        <v>3.6483E7</v>
      </c>
      <c r="O133" s="13">
        <f t="shared" si="2"/>
        <v>7296600</v>
      </c>
      <c r="P133" s="8" t="s">
        <v>53</v>
      </c>
      <c r="Q133" s="8">
        <v>14025.0</v>
      </c>
      <c r="R133" s="8">
        <v>15625.0</v>
      </c>
      <c r="S133" s="14">
        <v>45686.0</v>
      </c>
      <c r="T133" s="15" t="s">
        <v>587</v>
      </c>
      <c r="U133" s="14">
        <v>45688.0</v>
      </c>
      <c r="V133" s="8"/>
      <c r="W133" s="8">
        <v>180.0</v>
      </c>
      <c r="X133" s="8">
        <f t="shared" si="3"/>
        <v>180</v>
      </c>
      <c r="Y133" s="8">
        <v>95.55555556</v>
      </c>
      <c r="Z133" s="17">
        <f>VLOOKUP(F133,RANGOFECHAFINAL,25,FALSE)</f>
        <v>45868</v>
      </c>
      <c r="AA133" s="8" t="s">
        <v>712</v>
      </c>
      <c r="AB133" s="8" t="s">
        <v>182</v>
      </c>
      <c r="AC133" s="8" t="s">
        <v>42</v>
      </c>
      <c r="AD133" s="7"/>
    </row>
    <row r="134">
      <c r="A134" s="7">
        <v>152.0</v>
      </c>
      <c r="B134" s="7" t="s">
        <v>581</v>
      </c>
      <c r="C134" s="7" t="s">
        <v>713</v>
      </c>
      <c r="D134" s="7" t="s">
        <v>32</v>
      </c>
      <c r="E134" s="8" t="s">
        <v>583</v>
      </c>
      <c r="F134" s="8" t="s">
        <v>714</v>
      </c>
      <c r="G134" s="9" t="s">
        <v>715</v>
      </c>
      <c r="H134" s="8" t="s">
        <v>716</v>
      </c>
      <c r="I134" s="8">
        <v>1.128424536E9</v>
      </c>
      <c r="J134" s="10">
        <v>4.37796E7</v>
      </c>
      <c r="K134" s="11">
        <v>3.672622E7</v>
      </c>
      <c r="L134" s="10">
        <f t="shared" si="1"/>
        <v>80505820</v>
      </c>
      <c r="M134" s="12">
        <f>IFERROR(__xludf.DUMMYFUNCTION("+N134/L134"),0.45317220543806647)</f>
        <v>0.4531722054</v>
      </c>
      <c r="N134" s="13">
        <v>3.6483E7</v>
      </c>
      <c r="O134" s="13">
        <f t="shared" si="2"/>
        <v>44022820</v>
      </c>
      <c r="P134" s="8" t="s">
        <v>53</v>
      </c>
      <c r="Q134" s="8">
        <v>13525.0</v>
      </c>
      <c r="R134" s="8">
        <v>14825.0</v>
      </c>
      <c r="S134" s="14">
        <v>45685.0</v>
      </c>
      <c r="T134" s="15" t="s">
        <v>587</v>
      </c>
      <c r="U134" s="14">
        <v>45694.0</v>
      </c>
      <c r="V134" s="8">
        <v>151.0</v>
      </c>
      <c r="W134" s="8">
        <v>178.0</v>
      </c>
      <c r="X134" s="8">
        <f t="shared" si="3"/>
        <v>329</v>
      </c>
      <c r="Y134" s="8">
        <v>96.51162791</v>
      </c>
      <c r="Z134" s="17">
        <f>VLOOKUP(F134,RANGOFECHAFINAL,25,FALSE)</f>
        <v>45866</v>
      </c>
      <c r="AA134" s="8" t="s">
        <v>717</v>
      </c>
      <c r="AB134" s="8" t="s">
        <v>182</v>
      </c>
      <c r="AC134" s="8" t="s">
        <v>42</v>
      </c>
      <c r="AD134" s="7"/>
    </row>
    <row r="135">
      <c r="A135" s="7">
        <v>153.0</v>
      </c>
      <c r="B135" s="7" t="s">
        <v>581</v>
      </c>
      <c r="C135" s="7" t="s">
        <v>718</v>
      </c>
      <c r="D135" s="7" t="s">
        <v>32</v>
      </c>
      <c r="E135" s="8" t="s">
        <v>583</v>
      </c>
      <c r="F135" s="8" t="s">
        <v>719</v>
      </c>
      <c r="G135" s="9" t="s">
        <v>720</v>
      </c>
      <c r="H135" s="8" t="s">
        <v>721</v>
      </c>
      <c r="I135" s="8">
        <v>1.070963356E9</v>
      </c>
      <c r="J135" s="10">
        <v>4.37796E7</v>
      </c>
      <c r="K135" s="11">
        <v>3.672622E7</v>
      </c>
      <c r="L135" s="10">
        <f t="shared" si="1"/>
        <v>80505820</v>
      </c>
      <c r="M135" s="12">
        <f>IFERROR(__xludf.DUMMYFUNCTION("+N135/L135"),0.45317220543806647)</f>
        <v>0.4531722054</v>
      </c>
      <c r="N135" s="13">
        <v>3.6483E7</v>
      </c>
      <c r="O135" s="13">
        <f t="shared" si="2"/>
        <v>44022820</v>
      </c>
      <c r="P135" s="8" t="s">
        <v>53</v>
      </c>
      <c r="Q135" s="8">
        <v>13925.0</v>
      </c>
      <c r="R135" s="8">
        <v>14725.0</v>
      </c>
      <c r="S135" s="14">
        <v>45685.0</v>
      </c>
      <c r="T135" s="15" t="s">
        <v>587</v>
      </c>
      <c r="U135" s="14">
        <v>45693.0</v>
      </c>
      <c r="V135" s="8">
        <v>151.0</v>
      </c>
      <c r="W135" s="8">
        <v>179.0</v>
      </c>
      <c r="X135" s="8">
        <f t="shared" si="3"/>
        <v>330</v>
      </c>
      <c r="Y135" s="8">
        <v>50.75987842</v>
      </c>
      <c r="Z135" s="17">
        <v>46022.0</v>
      </c>
      <c r="AA135" s="8" t="s">
        <v>672</v>
      </c>
      <c r="AB135" s="8" t="s">
        <v>193</v>
      </c>
      <c r="AC135" s="8" t="s">
        <v>42</v>
      </c>
      <c r="AD135" s="7"/>
    </row>
    <row r="136">
      <c r="A136" s="7">
        <v>154.0</v>
      </c>
      <c r="B136" s="7" t="s">
        <v>581</v>
      </c>
      <c r="C136" s="7" t="s">
        <v>722</v>
      </c>
      <c r="D136" s="7" t="s">
        <v>32</v>
      </c>
      <c r="E136" s="8" t="s">
        <v>583</v>
      </c>
      <c r="F136" s="8" t="s">
        <v>723</v>
      </c>
      <c r="G136" s="9" t="s">
        <v>724</v>
      </c>
      <c r="H136" s="8" t="s">
        <v>725</v>
      </c>
      <c r="I136" s="8">
        <v>1.1236019E7</v>
      </c>
      <c r="J136" s="10">
        <v>3.5437675E7</v>
      </c>
      <c r="K136" s="11"/>
      <c r="L136" s="10">
        <f t="shared" si="1"/>
        <v>35437675</v>
      </c>
      <c r="M136" s="12">
        <f>IFERROR(__xludf.DUMMYFUNCTION("+N136/L136"),0.8108108108108109)</f>
        <v>0.8108108108</v>
      </c>
      <c r="N136" s="13">
        <v>2.873325E7</v>
      </c>
      <c r="O136" s="13">
        <f t="shared" si="2"/>
        <v>6704425</v>
      </c>
      <c r="P136" s="8" t="s">
        <v>152</v>
      </c>
      <c r="Q136" s="8">
        <v>12825.0</v>
      </c>
      <c r="R136" s="8">
        <v>15225.0</v>
      </c>
      <c r="S136" s="14">
        <v>45685.0</v>
      </c>
      <c r="T136" s="15" t="s">
        <v>587</v>
      </c>
      <c r="U136" s="14">
        <v>45692.0</v>
      </c>
      <c r="V136" s="8"/>
      <c r="W136" s="8">
        <v>186.0</v>
      </c>
      <c r="X136" s="8">
        <f t="shared" si="3"/>
        <v>186</v>
      </c>
      <c r="Y136" s="8">
        <v>92.30769231</v>
      </c>
      <c r="Z136" s="17">
        <f>VLOOKUP(F136,RANGOFECHAFINAL,25,FALSE)</f>
        <v>45874</v>
      </c>
      <c r="AA136" s="8" t="s">
        <v>153</v>
      </c>
      <c r="AB136" s="8" t="s">
        <v>154</v>
      </c>
      <c r="AC136" s="8" t="s">
        <v>42</v>
      </c>
      <c r="AD136" s="7"/>
    </row>
    <row r="137">
      <c r="A137" s="7">
        <v>155.0</v>
      </c>
      <c r="B137" s="7" t="s">
        <v>581</v>
      </c>
      <c r="C137" s="7" t="s">
        <v>726</v>
      </c>
      <c r="D137" s="7" t="s">
        <v>32</v>
      </c>
      <c r="E137" s="8" t="s">
        <v>583</v>
      </c>
      <c r="F137" s="8" t="s">
        <v>727</v>
      </c>
      <c r="G137" s="9" t="s">
        <v>728</v>
      </c>
      <c r="H137" s="8" t="s">
        <v>729</v>
      </c>
      <c r="I137" s="8">
        <v>7.97447E7</v>
      </c>
      <c r="J137" s="10">
        <v>1.553472E8</v>
      </c>
      <c r="K137" s="11">
        <v>-1320781.0</v>
      </c>
      <c r="L137" s="10">
        <f t="shared" si="1"/>
        <v>154026419</v>
      </c>
      <c r="M137" s="12">
        <f>IFERROR(__xludf.DUMMYFUNCTION("+N137/L137"),0.45224385824356533)</f>
        <v>0.4522438582</v>
      </c>
      <c r="N137" s="13">
        <v>6.9657502E7</v>
      </c>
      <c r="O137" s="13">
        <f t="shared" si="2"/>
        <v>84368917</v>
      </c>
      <c r="P137" s="8" t="s">
        <v>730</v>
      </c>
      <c r="Q137" s="8">
        <v>14425.0</v>
      </c>
      <c r="R137" s="8">
        <v>14325.0</v>
      </c>
      <c r="S137" s="14">
        <v>45685.0</v>
      </c>
      <c r="T137" s="15" t="s">
        <v>587</v>
      </c>
      <c r="U137" s="14">
        <v>45705.0</v>
      </c>
      <c r="V137" s="8"/>
      <c r="W137" s="8">
        <v>334.0</v>
      </c>
      <c r="X137" s="8">
        <f t="shared" si="3"/>
        <v>334</v>
      </c>
      <c r="Y137" s="8">
        <v>48.89589905</v>
      </c>
      <c r="Z137" s="17">
        <f>VLOOKUP(F137,RANGOFECHAFINAL,25,FALSE)</f>
        <v>46022</v>
      </c>
      <c r="AA137" s="8" t="s">
        <v>357</v>
      </c>
      <c r="AB137" s="8" t="s">
        <v>165</v>
      </c>
      <c r="AC137" s="8" t="s">
        <v>42</v>
      </c>
      <c r="AD137" s="7"/>
    </row>
    <row r="138">
      <c r="A138" s="7">
        <v>156.0</v>
      </c>
      <c r="B138" s="7" t="s">
        <v>581</v>
      </c>
      <c r="C138" s="7" t="s">
        <v>731</v>
      </c>
      <c r="D138" s="7" t="s">
        <v>32</v>
      </c>
      <c r="E138" s="8" t="s">
        <v>583</v>
      </c>
      <c r="F138" s="8" t="s">
        <v>732</v>
      </c>
      <c r="G138" s="9" t="s">
        <v>733</v>
      </c>
      <c r="H138" s="8" t="s">
        <v>734</v>
      </c>
      <c r="I138" s="8">
        <v>1.030564407E9</v>
      </c>
      <c r="J138" s="10">
        <v>7.81E7</v>
      </c>
      <c r="K138" s="11"/>
      <c r="L138" s="10">
        <f t="shared" si="1"/>
        <v>78100000</v>
      </c>
      <c r="M138" s="12">
        <f>IFERROR(__xludf.DUMMYFUNCTION("+N138/L138"),0.45454545454545453)</f>
        <v>0.4545454545</v>
      </c>
      <c r="N138" s="13">
        <v>3.55E7</v>
      </c>
      <c r="O138" s="13">
        <f t="shared" si="2"/>
        <v>42600000</v>
      </c>
      <c r="P138" s="8" t="s">
        <v>367</v>
      </c>
      <c r="Q138" s="8">
        <v>20125.0</v>
      </c>
      <c r="R138" s="8">
        <v>14425.0</v>
      </c>
      <c r="S138" s="14">
        <v>45685.0</v>
      </c>
      <c r="T138" s="15" t="s">
        <v>587</v>
      </c>
      <c r="U138" s="14">
        <v>45692.0</v>
      </c>
      <c r="V138" s="8"/>
      <c r="W138" s="8">
        <v>332.0</v>
      </c>
      <c r="X138" s="8">
        <f t="shared" si="3"/>
        <v>332</v>
      </c>
      <c r="Y138" s="8">
        <v>51.2195122</v>
      </c>
      <c r="Z138" s="17">
        <f>VLOOKUP(F138,RANGOFECHAFINAL,25,FALSE)</f>
        <v>46020</v>
      </c>
      <c r="AA138" s="8" t="s">
        <v>222</v>
      </c>
      <c r="AB138" s="8" t="s">
        <v>223</v>
      </c>
      <c r="AC138" s="8" t="s">
        <v>42</v>
      </c>
      <c r="AD138" s="7"/>
    </row>
    <row r="139">
      <c r="A139" s="7">
        <v>157.0</v>
      </c>
      <c r="B139" s="7" t="s">
        <v>581</v>
      </c>
      <c r="C139" s="7" t="s">
        <v>735</v>
      </c>
      <c r="D139" s="7" t="s">
        <v>32</v>
      </c>
      <c r="E139" s="8" t="s">
        <v>583</v>
      </c>
      <c r="F139" s="8" t="s">
        <v>736</v>
      </c>
      <c r="G139" s="9" t="s">
        <v>737</v>
      </c>
      <c r="H139" s="8" t="s">
        <v>738</v>
      </c>
      <c r="I139" s="8">
        <v>1.057584892E9</v>
      </c>
      <c r="J139" s="10">
        <v>1.155991E8</v>
      </c>
      <c r="K139" s="11"/>
      <c r="L139" s="10">
        <f t="shared" si="1"/>
        <v>115599100</v>
      </c>
      <c r="M139" s="12">
        <f>IFERROR(__xludf.DUMMYFUNCTION("+N139/L139"),0.45061336982727374)</f>
        <v>0.4506133698</v>
      </c>
      <c r="N139" s="13">
        <v>5.20905E7</v>
      </c>
      <c r="O139" s="13">
        <f t="shared" si="2"/>
        <v>63508600</v>
      </c>
      <c r="P139" s="27" t="s">
        <v>152</v>
      </c>
      <c r="Q139" s="28">
        <v>16325.0</v>
      </c>
      <c r="R139" s="25">
        <v>14525.0</v>
      </c>
      <c r="S139" s="26">
        <v>45685.0</v>
      </c>
      <c r="T139" s="25" t="s">
        <v>587</v>
      </c>
      <c r="U139" s="26">
        <v>45692.0</v>
      </c>
      <c r="V139" s="8"/>
      <c r="W139" s="27">
        <v>332.0</v>
      </c>
      <c r="X139" s="8">
        <f t="shared" si="3"/>
        <v>332</v>
      </c>
      <c r="Y139" s="8">
        <v>51.2195122</v>
      </c>
      <c r="Z139" s="17">
        <f>VLOOKUP(F139,RANGOFECHAFINAL,25,FALSE)</f>
        <v>46020</v>
      </c>
      <c r="AA139" s="8" t="s">
        <v>739</v>
      </c>
      <c r="AB139" s="8" t="s">
        <v>154</v>
      </c>
      <c r="AC139" s="8" t="s">
        <v>42</v>
      </c>
      <c r="AD139" s="7"/>
    </row>
    <row r="140">
      <c r="A140" s="7">
        <v>158.0</v>
      </c>
      <c r="B140" s="7" t="s">
        <v>581</v>
      </c>
      <c r="C140" s="7" t="s">
        <v>740</v>
      </c>
      <c r="D140" s="7" t="s">
        <v>32</v>
      </c>
      <c r="E140" s="8" t="s">
        <v>583</v>
      </c>
      <c r="F140" s="8" t="s">
        <v>741</v>
      </c>
      <c r="G140" s="9" t="s">
        <v>742</v>
      </c>
      <c r="H140" s="8" t="s">
        <v>743</v>
      </c>
      <c r="I140" s="8">
        <v>5.3000155E7</v>
      </c>
      <c r="J140" s="10">
        <v>1.159991E8</v>
      </c>
      <c r="K140" s="11"/>
      <c r="L140" s="10">
        <f t="shared" si="1"/>
        <v>115999100</v>
      </c>
      <c r="M140" s="12">
        <f>IFERROR(__xludf.DUMMYFUNCTION("+N140/L140"),0.4521170164251274)</f>
        <v>0.4521170164</v>
      </c>
      <c r="N140" s="13">
        <v>5.2445167E7</v>
      </c>
      <c r="O140" s="13">
        <f t="shared" si="2"/>
        <v>63553933</v>
      </c>
      <c r="P140" s="8" t="s">
        <v>152</v>
      </c>
      <c r="Q140" s="8">
        <v>15925.0</v>
      </c>
      <c r="R140" s="8">
        <v>15125.0</v>
      </c>
      <c r="S140" s="14">
        <v>45686.0</v>
      </c>
      <c r="T140" s="15" t="s">
        <v>587</v>
      </c>
      <c r="U140" s="14">
        <v>45692.0</v>
      </c>
      <c r="V140" s="8"/>
      <c r="W140" s="8">
        <v>333.0</v>
      </c>
      <c r="X140" s="8">
        <f t="shared" si="3"/>
        <v>333</v>
      </c>
      <c r="Y140" s="8">
        <v>51.06382979</v>
      </c>
      <c r="Z140" s="17">
        <f>VLOOKUP(F140,RANGOFECHAFINAL,25,FALSE)</f>
        <v>46021</v>
      </c>
      <c r="AA140" s="8" t="s">
        <v>744</v>
      </c>
      <c r="AB140" s="8" t="s">
        <v>154</v>
      </c>
      <c r="AC140" s="8" t="s">
        <v>42</v>
      </c>
      <c r="AD140" s="7"/>
    </row>
    <row r="141">
      <c r="A141" s="7">
        <v>159.0</v>
      </c>
      <c r="B141" s="7" t="s">
        <v>581</v>
      </c>
      <c r="C141" s="7" t="s">
        <v>745</v>
      </c>
      <c r="D141" s="7" t="s">
        <v>32</v>
      </c>
      <c r="E141" s="8" t="s">
        <v>583</v>
      </c>
      <c r="F141" s="8" t="s">
        <v>746</v>
      </c>
      <c r="G141" s="9" t="s">
        <v>747</v>
      </c>
      <c r="H141" s="8" t="s">
        <v>748</v>
      </c>
      <c r="I141" s="8">
        <v>5.2016453E7</v>
      </c>
      <c r="J141" s="10">
        <v>9.957195E7</v>
      </c>
      <c r="K141" s="11"/>
      <c r="L141" s="10">
        <f t="shared" si="1"/>
        <v>99571950</v>
      </c>
      <c r="M141" s="12">
        <f>IFERROR(__xludf.DUMMYFUNCTION("+N141/L141"),0.4572501291779462)</f>
        <v>0.4572501292</v>
      </c>
      <c r="N141" s="13">
        <v>4.5529287E7</v>
      </c>
      <c r="O141" s="13">
        <f t="shared" si="2"/>
        <v>54042663</v>
      </c>
      <c r="P141" s="8" t="s">
        <v>152</v>
      </c>
      <c r="Q141" s="8">
        <v>16425.0</v>
      </c>
      <c r="R141" s="8">
        <v>15425.0</v>
      </c>
      <c r="S141" s="14">
        <v>45686.0</v>
      </c>
      <c r="T141" s="15" t="s">
        <v>587</v>
      </c>
      <c r="U141" s="14">
        <v>45692.0</v>
      </c>
      <c r="V141" s="8"/>
      <c r="W141" s="8">
        <v>333.0</v>
      </c>
      <c r="X141" s="8">
        <f t="shared" si="3"/>
        <v>333</v>
      </c>
      <c r="Y141" s="8">
        <v>51.06382979</v>
      </c>
      <c r="Z141" s="17">
        <f>VLOOKUP(F141,RANGOFECHAFINAL,25,FALSE)</f>
        <v>46021</v>
      </c>
      <c r="AA141" s="8" t="s">
        <v>749</v>
      </c>
      <c r="AB141" s="8" t="s">
        <v>154</v>
      </c>
      <c r="AC141" s="8" t="s">
        <v>42</v>
      </c>
      <c r="AD141" s="7"/>
    </row>
    <row r="142">
      <c r="A142" s="7">
        <v>160.0</v>
      </c>
      <c r="B142" s="7" t="s">
        <v>581</v>
      </c>
      <c r="C142" s="7" t="s">
        <v>750</v>
      </c>
      <c r="D142" s="7" t="s">
        <v>32</v>
      </c>
      <c r="E142" s="8" t="s">
        <v>583</v>
      </c>
      <c r="F142" s="8" t="s">
        <v>751</v>
      </c>
      <c r="G142" s="9" t="s">
        <v>752</v>
      </c>
      <c r="H142" s="8" t="s">
        <v>753</v>
      </c>
      <c r="I142" s="8">
        <v>1.088351048E9</v>
      </c>
      <c r="J142" s="10">
        <v>9.897195E7</v>
      </c>
      <c r="K142" s="11"/>
      <c r="L142" s="10">
        <f t="shared" si="1"/>
        <v>98971950</v>
      </c>
      <c r="M142" s="12">
        <f>IFERROR(__xludf.DUMMYFUNCTION("+N142/L142"),0.45454545454545453)</f>
        <v>0.4545454545</v>
      </c>
      <c r="N142" s="13">
        <v>4.498725E7</v>
      </c>
      <c r="O142" s="13">
        <f t="shared" si="2"/>
        <v>53984700</v>
      </c>
      <c r="P142" s="8" t="s">
        <v>730</v>
      </c>
      <c r="Q142" s="8">
        <v>14125.0</v>
      </c>
      <c r="R142" s="8">
        <v>14225.0</v>
      </c>
      <c r="S142" s="14">
        <v>45685.0</v>
      </c>
      <c r="T142" s="15" t="s">
        <v>587</v>
      </c>
      <c r="U142" s="14">
        <v>45693.0</v>
      </c>
      <c r="V142" s="8"/>
      <c r="W142" s="8">
        <v>332.0</v>
      </c>
      <c r="X142" s="8">
        <f t="shared" si="3"/>
        <v>332</v>
      </c>
      <c r="Y142" s="8">
        <v>51.07033639</v>
      </c>
      <c r="Z142" s="17">
        <f>VLOOKUP(F142,RANGOFECHAFINAL,25,FALSE)</f>
        <v>46020</v>
      </c>
      <c r="AA142" s="8" t="s">
        <v>557</v>
      </c>
      <c r="AB142" s="8" t="s">
        <v>165</v>
      </c>
      <c r="AC142" s="8" t="s">
        <v>42</v>
      </c>
      <c r="AD142" s="7"/>
    </row>
    <row r="143">
      <c r="A143" s="7">
        <v>161.0</v>
      </c>
      <c r="B143" s="7" t="s">
        <v>581</v>
      </c>
      <c r="C143" s="7" t="s">
        <v>754</v>
      </c>
      <c r="D143" s="7" t="s">
        <v>32</v>
      </c>
      <c r="E143" s="8" t="s">
        <v>583</v>
      </c>
      <c r="F143" s="8" t="s">
        <v>755</v>
      </c>
      <c r="G143" s="9" t="s">
        <v>756</v>
      </c>
      <c r="H143" s="8" t="s">
        <v>757</v>
      </c>
      <c r="I143" s="8">
        <v>1.016068292E9</v>
      </c>
      <c r="J143" s="10">
        <v>9.515E7</v>
      </c>
      <c r="K143" s="11"/>
      <c r="L143" s="10">
        <f t="shared" si="1"/>
        <v>95150000</v>
      </c>
      <c r="M143" s="12">
        <f>IFERROR(__xludf.DUMMYFUNCTION("+N143/L143"),0.45454545454545453)</f>
        <v>0.4545454545</v>
      </c>
      <c r="N143" s="13">
        <v>4.325E7</v>
      </c>
      <c r="O143" s="13">
        <f t="shared" si="2"/>
        <v>51900000</v>
      </c>
      <c r="P143" s="8" t="s">
        <v>91</v>
      </c>
      <c r="Q143" s="8">
        <v>15625.0</v>
      </c>
      <c r="R143" s="8">
        <v>15725.0</v>
      </c>
      <c r="S143" s="14">
        <v>45686.0</v>
      </c>
      <c r="T143" s="19">
        <v>45694.0</v>
      </c>
      <c r="U143" s="14">
        <v>45695.0</v>
      </c>
      <c r="V143" s="8"/>
      <c r="W143" s="8">
        <v>333.0</v>
      </c>
      <c r="X143" s="8">
        <f t="shared" si="3"/>
        <v>333</v>
      </c>
      <c r="Y143" s="8">
        <v>50.61349693</v>
      </c>
      <c r="Z143" s="17">
        <f>VLOOKUP(F143,RANGOFECHAFINAL,25,FALSE)</f>
        <v>46021</v>
      </c>
      <c r="AA143" s="8" t="s">
        <v>164</v>
      </c>
      <c r="AB143" s="8" t="s">
        <v>165</v>
      </c>
      <c r="AC143" s="8" t="s">
        <v>42</v>
      </c>
      <c r="AD143" s="7"/>
    </row>
    <row r="144">
      <c r="A144" s="7">
        <v>162.0</v>
      </c>
      <c r="B144" s="7" t="s">
        <v>581</v>
      </c>
      <c r="C144" s="7" t="s">
        <v>758</v>
      </c>
      <c r="D144" s="7" t="s">
        <v>32</v>
      </c>
      <c r="E144" s="8" t="s">
        <v>583</v>
      </c>
      <c r="F144" s="8" t="s">
        <v>759</v>
      </c>
      <c r="G144" s="9" t="s">
        <v>760</v>
      </c>
      <c r="H144" s="8" t="s">
        <v>761</v>
      </c>
      <c r="I144" s="8">
        <v>1.073236997E9</v>
      </c>
      <c r="J144" s="10">
        <v>1.420265E8</v>
      </c>
      <c r="K144" s="11"/>
      <c r="L144" s="10">
        <f t="shared" si="1"/>
        <v>142026500</v>
      </c>
      <c r="M144" s="12">
        <f>IFERROR(__xludf.DUMMYFUNCTION("+N144/L144"),0.45454545454545453)</f>
        <v>0.4545454545</v>
      </c>
      <c r="N144" s="13">
        <v>6.45575E7</v>
      </c>
      <c r="O144" s="13">
        <f t="shared" si="2"/>
        <v>77469000</v>
      </c>
      <c r="P144" s="8" t="s">
        <v>762</v>
      </c>
      <c r="Q144" s="8">
        <v>14225.0</v>
      </c>
      <c r="R144" s="8">
        <v>15025.0</v>
      </c>
      <c r="S144" s="14">
        <v>45686.0</v>
      </c>
      <c r="T144" s="15" t="s">
        <v>587</v>
      </c>
      <c r="U144" s="14">
        <v>45692.0</v>
      </c>
      <c r="V144" s="8"/>
      <c r="W144" s="8">
        <v>333.0</v>
      </c>
      <c r="X144" s="8">
        <f t="shared" si="3"/>
        <v>333</v>
      </c>
      <c r="Y144" s="8">
        <v>51.06382979</v>
      </c>
      <c r="Z144" s="17">
        <f>VLOOKUP(F144,RANGOFECHAFINAL,25,FALSE)</f>
        <v>46021</v>
      </c>
      <c r="AA144" s="8" t="s">
        <v>557</v>
      </c>
      <c r="AB144" s="8" t="s">
        <v>165</v>
      </c>
      <c r="AC144" s="8" t="s">
        <v>42</v>
      </c>
      <c r="AD144" s="7"/>
    </row>
    <row r="145">
      <c r="A145" s="7">
        <v>163.0</v>
      </c>
      <c r="B145" s="7" t="s">
        <v>581</v>
      </c>
      <c r="C145" s="7" t="s">
        <v>677</v>
      </c>
      <c r="D145" s="7" t="s">
        <v>32</v>
      </c>
      <c r="E145" s="8" t="s">
        <v>583</v>
      </c>
      <c r="F145" s="8" t="s">
        <v>763</v>
      </c>
      <c r="G145" s="9" t="s">
        <v>764</v>
      </c>
      <c r="H145" s="8" t="s">
        <v>765</v>
      </c>
      <c r="I145" s="8">
        <v>7.9598641E7</v>
      </c>
      <c r="J145" s="10">
        <v>8.569E7</v>
      </c>
      <c r="K145" s="11"/>
      <c r="L145" s="10">
        <f t="shared" si="1"/>
        <v>85690000</v>
      </c>
      <c r="M145" s="12">
        <f>IFERROR(__xludf.DUMMYFUNCTION("+N145/L145"),0.5)</f>
        <v>0.5</v>
      </c>
      <c r="N145" s="13">
        <v>4.2845E7</v>
      </c>
      <c r="O145" s="13">
        <f t="shared" si="2"/>
        <v>42845000</v>
      </c>
      <c r="P145" s="8" t="s">
        <v>38</v>
      </c>
      <c r="Q145" s="8">
        <v>12725.0</v>
      </c>
      <c r="R145" s="8">
        <v>14925.0</v>
      </c>
      <c r="S145" s="14">
        <v>45686.0</v>
      </c>
      <c r="T145" s="15" t="s">
        <v>587</v>
      </c>
      <c r="U145" s="14">
        <v>45693.0</v>
      </c>
      <c r="V145" s="8"/>
      <c r="W145" s="8">
        <v>303.0</v>
      </c>
      <c r="X145" s="8">
        <f t="shared" si="3"/>
        <v>303</v>
      </c>
      <c r="Y145" s="8">
        <v>56.04026846</v>
      </c>
      <c r="Z145" s="17">
        <f>VLOOKUP(F145,RANGOFECHAFINAL,25,FALSE)</f>
        <v>45991</v>
      </c>
      <c r="AA145" s="8" t="s">
        <v>328</v>
      </c>
      <c r="AB145" s="8" t="s">
        <v>258</v>
      </c>
      <c r="AC145" s="8" t="s">
        <v>42</v>
      </c>
      <c r="AD145" s="7"/>
    </row>
    <row r="146">
      <c r="A146" s="7">
        <v>164.0</v>
      </c>
      <c r="B146" s="7" t="s">
        <v>581</v>
      </c>
      <c r="C146" s="7" t="s">
        <v>766</v>
      </c>
      <c r="D146" s="7" t="s">
        <v>32</v>
      </c>
      <c r="E146" s="8" t="s">
        <v>583</v>
      </c>
      <c r="F146" s="8" t="s">
        <v>767</v>
      </c>
      <c r="G146" s="9" t="s">
        <v>768</v>
      </c>
      <c r="H146" s="8" t="s">
        <v>769</v>
      </c>
      <c r="I146" s="8">
        <v>1.024476225E9</v>
      </c>
      <c r="J146" s="10">
        <v>3.9963E7</v>
      </c>
      <c r="K146" s="11"/>
      <c r="L146" s="10">
        <f t="shared" si="1"/>
        <v>39963000</v>
      </c>
      <c r="M146" s="12">
        <f>IFERROR(__xludf.DUMMYFUNCTION("+N146/L146"),0.49333333333333335)</f>
        <v>0.4933333333</v>
      </c>
      <c r="N146" s="13">
        <v>1.971508E7</v>
      </c>
      <c r="O146" s="13">
        <f t="shared" si="2"/>
        <v>20247920</v>
      </c>
      <c r="P146" s="8" t="s">
        <v>38</v>
      </c>
      <c r="Q146" s="8">
        <v>12425.0</v>
      </c>
      <c r="R146" s="8">
        <v>16625.0</v>
      </c>
      <c r="S146" s="14">
        <v>45687.0</v>
      </c>
      <c r="T146" s="15" t="s">
        <v>587</v>
      </c>
      <c r="U146" s="14">
        <v>45692.0</v>
      </c>
      <c r="V146" s="8"/>
      <c r="W146" s="8">
        <v>302.0</v>
      </c>
      <c r="X146" s="8">
        <f t="shared" si="3"/>
        <v>302</v>
      </c>
      <c r="Y146" s="8">
        <v>55.81395349</v>
      </c>
      <c r="Z146" s="17">
        <f>VLOOKUP(F146,RANGOFECHAFINAL,25,FALSE)</f>
        <v>45993</v>
      </c>
      <c r="AA146" s="8" t="s">
        <v>328</v>
      </c>
      <c r="AB146" s="8" t="s">
        <v>258</v>
      </c>
      <c r="AC146" s="8" t="s">
        <v>42</v>
      </c>
      <c r="AD146" s="7"/>
    </row>
    <row r="147">
      <c r="A147" s="7">
        <v>165.0</v>
      </c>
      <c r="B147" s="7" t="s">
        <v>581</v>
      </c>
      <c r="C147" s="7" t="s">
        <v>770</v>
      </c>
      <c r="D147" s="7" t="s">
        <v>32</v>
      </c>
      <c r="E147" s="8" t="s">
        <v>583</v>
      </c>
      <c r="F147" s="8" t="s">
        <v>771</v>
      </c>
      <c r="G147" s="9" t="s">
        <v>772</v>
      </c>
      <c r="H147" s="8" t="s">
        <v>773</v>
      </c>
      <c r="I147" s="8">
        <v>1.032463587E9</v>
      </c>
      <c r="J147" s="10">
        <v>8.55465E7</v>
      </c>
      <c r="K147" s="11"/>
      <c r="L147" s="10">
        <f t="shared" si="1"/>
        <v>85546500</v>
      </c>
      <c r="M147" s="12">
        <f>IFERROR(__xludf.DUMMYFUNCTION("+N147/L147"),0.4461538461538462)</f>
        <v>0.4461538462</v>
      </c>
      <c r="N147" s="13">
        <v>3.81669E7</v>
      </c>
      <c r="O147" s="13">
        <f t="shared" si="2"/>
        <v>47379600</v>
      </c>
      <c r="P147" s="8" t="s">
        <v>53</v>
      </c>
      <c r="Q147" s="8">
        <v>17525.0</v>
      </c>
      <c r="R147" s="8">
        <v>19525.0</v>
      </c>
      <c r="S147" s="14">
        <v>45693.0</v>
      </c>
      <c r="T147" s="15" t="s">
        <v>587</v>
      </c>
      <c r="U147" s="19">
        <v>45693.0</v>
      </c>
      <c r="V147" s="8"/>
      <c r="W147" s="8">
        <v>327.0</v>
      </c>
      <c r="X147" s="8">
        <f t="shared" si="3"/>
        <v>327</v>
      </c>
      <c r="Y147" s="8">
        <v>50.91463415</v>
      </c>
      <c r="Z147" s="17">
        <f>VLOOKUP(F147,RANGOFECHAFINAL,25,FALSE)</f>
        <v>46021</v>
      </c>
      <c r="AA147" s="8" t="s">
        <v>774</v>
      </c>
      <c r="AB147" s="8" t="s">
        <v>182</v>
      </c>
      <c r="AC147" s="8" t="s">
        <v>42</v>
      </c>
      <c r="AD147" s="7"/>
    </row>
    <row r="148">
      <c r="A148" s="7">
        <v>166.0</v>
      </c>
      <c r="B148" s="7" t="s">
        <v>581</v>
      </c>
      <c r="C148" s="7" t="s">
        <v>775</v>
      </c>
      <c r="D148" s="7" t="s">
        <v>32</v>
      </c>
      <c r="E148" s="8" t="s">
        <v>583</v>
      </c>
      <c r="F148" s="8" t="s">
        <v>776</v>
      </c>
      <c r="G148" s="9" t="s">
        <v>777</v>
      </c>
      <c r="H148" s="8" t="s">
        <v>778</v>
      </c>
      <c r="I148" s="8">
        <v>1.032465103E9</v>
      </c>
      <c r="J148" s="10">
        <v>4.4E7</v>
      </c>
      <c r="K148" s="11"/>
      <c r="L148" s="10">
        <f t="shared" si="1"/>
        <v>44000000</v>
      </c>
      <c r="M148" s="12">
        <f>IFERROR(__xludf.DUMMYFUNCTION("+N148/L148"),0.45454545454545453)</f>
        <v>0.4545454545</v>
      </c>
      <c r="N148" s="13">
        <v>2.0E7</v>
      </c>
      <c r="O148" s="13">
        <f t="shared" si="2"/>
        <v>24000000</v>
      </c>
      <c r="P148" s="8" t="s">
        <v>367</v>
      </c>
      <c r="Q148" s="8">
        <v>21025.0</v>
      </c>
      <c r="R148" s="8">
        <v>15925.0</v>
      </c>
      <c r="S148" s="14">
        <v>45686.0</v>
      </c>
      <c r="T148" s="15" t="s">
        <v>587</v>
      </c>
      <c r="U148" s="14">
        <v>45694.0</v>
      </c>
      <c r="V148" s="8"/>
      <c r="W148" s="8">
        <v>332.0</v>
      </c>
      <c r="X148" s="8">
        <f t="shared" si="3"/>
        <v>332</v>
      </c>
      <c r="Y148" s="8">
        <v>50.9202454</v>
      </c>
      <c r="Z148" s="17">
        <f>VLOOKUP(F148,RANGOFECHAFINAL,25,FALSE)</f>
        <v>46020</v>
      </c>
      <c r="AA148" s="8" t="s">
        <v>779</v>
      </c>
      <c r="AB148" s="8" t="s">
        <v>223</v>
      </c>
      <c r="AC148" s="8" t="s">
        <v>42</v>
      </c>
      <c r="AD148" s="7"/>
    </row>
    <row r="149" hidden="1">
      <c r="A149" s="7">
        <v>167.0</v>
      </c>
      <c r="B149" s="7" t="s">
        <v>581</v>
      </c>
      <c r="C149" s="7" t="s">
        <v>780</v>
      </c>
      <c r="D149" s="7" t="s">
        <v>32</v>
      </c>
      <c r="E149" s="8" t="s">
        <v>781</v>
      </c>
      <c r="F149" s="8" t="s">
        <v>782</v>
      </c>
      <c r="G149" s="9" t="s">
        <v>783</v>
      </c>
      <c r="H149" s="8" t="s">
        <v>784</v>
      </c>
      <c r="I149" s="8">
        <v>1.015471886E9</v>
      </c>
      <c r="J149" s="10">
        <v>4.0293E7</v>
      </c>
      <c r="K149" s="11">
        <v>-363000.0</v>
      </c>
      <c r="L149" s="10">
        <f t="shared" si="1"/>
        <v>39930000</v>
      </c>
      <c r="M149" s="12">
        <f>IFERROR(__xludf.DUMMYFUNCTION("+N149/L149"),0.45454545454545453)</f>
        <v>0.4545454545</v>
      </c>
      <c r="N149" s="13">
        <v>1.815E7</v>
      </c>
      <c r="O149" s="13">
        <f t="shared" si="2"/>
        <v>21780000</v>
      </c>
      <c r="P149" s="8" t="s">
        <v>367</v>
      </c>
      <c r="Q149" s="8">
        <v>20825.0</v>
      </c>
      <c r="R149" s="8">
        <v>15525.0</v>
      </c>
      <c r="S149" s="14">
        <v>45686.0</v>
      </c>
      <c r="T149" s="15" t="s">
        <v>587</v>
      </c>
      <c r="U149" s="14">
        <v>45693.0</v>
      </c>
      <c r="V149" s="8"/>
      <c r="W149" s="8">
        <v>334.0</v>
      </c>
      <c r="X149" s="8">
        <f t="shared" si="3"/>
        <v>334</v>
      </c>
      <c r="Y149" s="8">
        <v>50.75987842</v>
      </c>
      <c r="Z149" s="17">
        <f>VLOOKUP(F149,RANGOFECHAFINAL,25,FALSE)</f>
        <v>46022</v>
      </c>
      <c r="AA149" s="8" t="s">
        <v>433</v>
      </c>
      <c r="AB149" s="8" t="s">
        <v>223</v>
      </c>
      <c r="AC149" s="8" t="s">
        <v>42</v>
      </c>
      <c r="AD149" s="7"/>
    </row>
    <row r="150">
      <c r="A150" s="7">
        <v>168.0</v>
      </c>
      <c r="B150" s="7" t="s">
        <v>581</v>
      </c>
      <c r="C150" s="7" t="s">
        <v>785</v>
      </c>
      <c r="D150" s="7" t="s">
        <v>32</v>
      </c>
      <c r="E150" s="8" t="s">
        <v>583</v>
      </c>
      <c r="F150" s="8" t="s">
        <v>786</v>
      </c>
      <c r="G150" s="9" t="s">
        <v>787</v>
      </c>
      <c r="H150" s="8" t="s">
        <v>788</v>
      </c>
      <c r="I150" s="8">
        <v>5.2181636E7</v>
      </c>
      <c r="J150" s="10">
        <v>8.8E7</v>
      </c>
      <c r="K150" s="11">
        <v>-1066666.67</v>
      </c>
      <c r="L150" s="10">
        <f t="shared" si="1"/>
        <v>86933333.33</v>
      </c>
      <c r="M150" s="12">
        <f>IFERROR(__xludf.DUMMYFUNCTION("+N150/L150"),0.447852760715025)</f>
        <v>0.4478527607</v>
      </c>
      <c r="N150" s="13">
        <v>3.893333333E7</v>
      </c>
      <c r="O150" s="13">
        <f t="shared" si="2"/>
        <v>48000000</v>
      </c>
      <c r="P150" s="8" t="s">
        <v>67</v>
      </c>
      <c r="Q150" s="8">
        <v>20625.0</v>
      </c>
      <c r="R150" s="8">
        <v>17725.0</v>
      </c>
      <c r="S150" s="14">
        <v>45691.0</v>
      </c>
      <c r="T150" s="15" t="s">
        <v>587</v>
      </c>
      <c r="U150" s="14">
        <v>45693.0</v>
      </c>
      <c r="V150" s="8"/>
      <c r="W150" s="8">
        <v>329.0</v>
      </c>
      <c r="X150" s="8">
        <f t="shared" si="3"/>
        <v>329</v>
      </c>
      <c r="Y150" s="8">
        <v>50.75987842</v>
      </c>
      <c r="Z150" s="17">
        <f>VLOOKUP(F150,RANGOFECHAFINAL,25,FALSE)</f>
        <v>46022</v>
      </c>
      <c r="AA150" s="8" t="s">
        <v>222</v>
      </c>
      <c r="AB150" s="8" t="s">
        <v>789</v>
      </c>
      <c r="AC150" s="8" t="s">
        <v>42</v>
      </c>
      <c r="AD150" s="7"/>
    </row>
    <row r="151">
      <c r="A151" s="7">
        <v>169.0</v>
      </c>
      <c r="B151" s="7" t="s">
        <v>581</v>
      </c>
      <c r="C151" s="7" t="s">
        <v>790</v>
      </c>
      <c r="D151" s="7" t="s">
        <v>32</v>
      </c>
      <c r="E151" s="8" t="s">
        <v>583</v>
      </c>
      <c r="F151" s="8" t="s">
        <v>791</v>
      </c>
      <c r="G151" s="9" t="s">
        <v>792</v>
      </c>
      <c r="H151" s="8" t="s">
        <v>793</v>
      </c>
      <c r="I151" s="8">
        <v>9.1013621E7</v>
      </c>
      <c r="J151" s="10">
        <v>8.8E7</v>
      </c>
      <c r="K151" s="11"/>
      <c r="L151" s="10">
        <f t="shared" si="1"/>
        <v>88000000</v>
      </c>
      <c r="M151" s="12">
        <f>IFERROR(__xludf.DUMMYFUNCTION("+N151/L151"),0.45454545454545453)</f>
        <v>0.4545454545</v>
      </c>
      <c r="N151" s="13">
        <v>4.0E7</v>
      </c>
      <c r="O151" s="13">
        <f t="shared" si="2"/>
        <v>48000000</v>
      </c>
      <c r="P151" s="8" t="s">
        <v>67</v>
      </c>
      <c r="Q151" s="8">
        <v>20725.0</v>
      </c>
      <c r="R151" s="8">
        <v>15825.0</v>
      </c>
      <c r="S151" s="14">
        <v>45686.0</v>
      </c>
      <c r="T151" s="15" t="s">
        <v>587</v>
      </c>
      <c r="U151" s="14">
        <v>45693.0</v>
      </c>
      <c r="V151" s="8"/>
      <c r="W151" s="8">
        <v>332.0</v>
      </c>
      <c r="X151" s="8">
        <f t="shared" si="3"/>
        <v>332</v>
      </c>
      <c r="Y151" s="8">
        <v>51.07033639</v>
      </c>
      <c r="Z151" s="17">
        <f>VLOOKUP(F151,RANGOFECHAFINAL,25,FALSE)</f>
        <v>46020</v>
      </c>
      <c r="AA151" s="8" t="s">
        <v>794</v>
      </c>
      <c r="AB151" s="8" t="s">
        <v>223</v>
      </c>
      <c r="AC151" s="8" t="s">
        <v>42</v>
      </c>
      <c r="AD151" s="7"/>
    </row>
    <row r="152">
      <c r="A152" s="7">
        <v>170.0</v>
      </c>
      <c r="B152" s="7" t="s">
        <v>581</v>
      </c>
      <c r="C152" s="7" t="s">
        <v>795</v>
      </c>
      <c r="D152" s="7" t="s">
        <v>32</v>
      </c>
      <c r="E152" s="8" t="s">
        <v>583</v>
      </c>
      <c r="F152" s="8" t="s">
        <v>796</v>
      </c>
      <c r="G152" s="9" t="s">
        <v>797</v>
      </c>
      <c r="H152" s="8" t="s">
        <v>798</v>
      </c>
      <c r="I152" s="8">
        <v>1.072714553E9</v>
      </c>
      <c r="J152" s="10">
        <v>8.738904E7</v>
      </c>
      <c r="K152" s="11">
        <v>-1052880.0</v>
      </c>
      <c r="L152" s="10">
        <f t="shared" si="1"/>
        <v>86336160</v>
      </c>
      <c r="M152" s="12">
        <f>IFERROR(__xludf.DUMMYFUNCTION("+N152/L152"),0.45121951219512196)</f>
        <v>0.4512195122</v>
      </c>
      <c r="N152" s="13">
        <v>3.895656E7</v>
      </c>
      <c r="O152" s="13">
        <f t="shared" si="2"/>
        <v>47379600</v>
      </c>
      <c r="P152" s="8" t="s">
        <v>53</v>
      </c>
      <c r="Q152" s="8">
        <v>17625.0</v>
      </c>
      <c r="R152" s="8">
        <v>16525.0</v>
      </c>
      <c r="S152" s="14">
        <v>45687.0</v>
      </c>
      <c r="T152" s="15" t="s">
        <v>587</v>
      </c>
      <c r="U152" s="14">
        <v>45693.0</v>
      </c>
      <c r="V152" s="8"/>
      <c r="W152" s="8">
        <v>331.0</v>
      </c>
      <c r="X152" s="8">
        <f t="shared" si="3"/>
        <v>331</v>
      </c>
      <c r="Y152" s="8">
        <v>50.75987842</v>
      </c>
      <c r="Z152" s="17">
        <f>VLOOKUP(F152,RANGOFECHAFINAL,25,FALSE)</f>
        <v>46022</v>
      </c>
      <c r="AA152" s="8" t="s">
        <v>774</v>
      </c>
      <c r="AB152" s="8" t="s">
        <v>182</v>
      </c>
      <c r="AC152" s="8" t="s">
        <v>42</v>
      </c>
      <c r="AD152" s="7"/>
    </row>
    <row r="153">
      <c r="A153" s="7">
        <v>171.0</v>
      </c>
      <c r="B153" s="7" t="s">
        <v>581</v>
      </c>
      <c r="C153" s="7" t="s">
        <v>799</v>
      </c>
      <c r="D153" s="7" t="s">
        <v>32</v>
      </c>
      <c r="E153" s="8" t="s">
        <v>583</v>
      </c>
      <c r="F153" s="8" t="s">
        <v>800</v>
      </c>
      <c r="G153" s="9" t="s">
        <v>801</v>
      </c>
      <c r="H153" s="8" t="s">
        <v>802</v>
      </c>
      <c r="I153" s="8">
        <v>1.030634155E9</v>
      </c>
      <c r="J153" s="10">
        <v>8.738904E7</v>
      </c>
      <c r="K153" s="11">
        <v>-1052880.0</v>
      </c>
      <c r="L153" s="10">
        <f t="shared" si="1"/>
        <v>86336160</v>
      </c>
      <c r="M153" s="12">
        <f>IFERROR(__xludf.DUMMYFUNCTION("+N153/L153"),0.45121951219512196)</f>
        <v>0.4512195122</v>
      </c>
      <c r="N153" s="13">
        <v>3.895656E7</v>
      </c>
      <c r="O153" s="13">
        <f t="shared" si="2"/>
        <v>47379600</v>
      </c>
      <c r="P153" s="8" t="s">
        <v>53</v>
      </c>
      <c r="Q153" s="8">
        <v>17425.0</v>
      </c>
      <c r="R153" s="8">
        <v>16425.0</v>
      </c>
      <c r="S153" s="14">
        <v>45687.0</v>
      </c>
      <c r="T153" s="15" t="s">
        <v>587</v>
      </c>
      <c r="U153" s="14">
        <v>45693.0</v>
      </c>
      <c r="V153" s="8"/>
      <c r="W153" s="8">
        <v>331.0</v>
      </c>
      <c r="X153" s="8">
        <f t="shared" si="3"/>
        <v>331</v>
      </c>
      <c r="Y153" s="8">
        <v>50.75987842</v>
      </c>
      <c r="Z153" s="17">
        <f>VLOOKUP(F153,RANGOFECHAFINAL,25,FALSE)</f>
        <v>46022</v>
      </c>
      <c r="AA153" s="8" t="s">
        <v>774</v>
      </c>
      <c r="AB153" s="8" t="s">
        <v>182</v>
      </c>
      <c r="AC153" s="8" t="s">
        <v>42</v>
      </c>
      <c r="AD153" s="7"/>
    </row>
    <row r="154" hidden="1">
      <c r="A154" s="7">
        <v>172.0</v>
      </c>
      <c r="B154" s="7" t="s">
        <v>581</v>
      </c>
      <c r="C154" s="7"/>
      <c r="D154" s="7" t="s">
        <v>32</v>
      </c>
      <c r="E154" s="8" t="s">
        <v>781</v>
      </c>
      <c r="F154" s="8" t="s">
        <v>803</v>
      </c>
      <c r="G154" s="9" t="s">
        <v>804</v>
      </c>
      <c r="H154" s="8" t="s">
        <v>805</v>
      </c>
      <c r="I154" s="8">
        <v>1.055272277E9</v>
      </c>
      <c r="J154" s="10">
        <v>3.9801267E7</v>
      </c>
      <c r="K154" s="11">
        <v>-239767.0</v>
      </c>
      <c r="L154" s="10">
        <f t="shared" si="1"/>
        <v>39561500</v>
      </c>
      <c r="M154" s="12">
        <f>IFERROR(__xludf.DUMMYFUNCTION("+N154/L154"),0.45454545454545453)</f>
        <v>0.4545454545</v>
      </c>
      <c r="N154" s="13">
        <v>1.79825E7</v>
      </c>
      <c r="O154" s="13">
        <f t="shared" si="2"/>
        <v>21579000</v>
      </c>
      <c r="P154" s="8" t="s">
        <v>53</v>
      </c>
      <c r="Q154" s="8">
        <v>17325.0</v>
      </c>
      <c r="R154" s="8">
        <v>16225.0</v>
      </c>
      <c r="S154" s="14">
        <v>45687.0</v>
      </c>
      <c r="T154" s="15" t="s">
        <v>587</v>
      </c>
      <c r="U154" s="19">
        <v>45688.0</v>
      </c>
      <c r="V154" s="8"/>
      <c r="W154" s="8">
        <v>334.0</v>
      </c>
      <c r="X154" s="8">
        <f t="shared" si="3"/>
        <v>334</v>
      </c>
      <c r="Y154" s="8">
        <v>51.49700599</v>
      </c>
      <c r="Z154" s="17">
        <f>VLOOKUP(F154,RANGOFECHAFINAL,25,FALSE)</f>
        <v>46022</v>
      </c>
      <c r="AA154" s="8" t="s">
        <v>252</v>
      </c>
      <c r="AB154" s="8" t="s">
        <v>182</v>
      </c>
      <c r="AC154" s="8" t="s">
        <v>42</v>
      </c>
      <c r="AD154" s="7"/>
    </row>
    <row r="155">
      <c r="A155" s="7">
        <v>173.0</v>
      </c>
      <c r="B155" s="7" t="s">
        <v>581</v>
      </c>
      <c r="C155" s="7" t="s">
        <v>806</v>
      </c>
      <c r="D155" s="7" t="s">
        <v>32</v>
      </c>
      <c r="E155" s="8" t="s">
        <v>583</v>
      </c>
      <c r="F155" s="8" t="s">
        <v>807</v>
      </c>
      <c r="G155" s="9" t="s">
        <v>808</v>
      </c>
      <c r="H155" s="8" t="s">
        <v>809</v>
      </c>
      <c r="I155" s="8">
        <v>1.016069508E9</v>
      </c>
      <c r="J155" s="10">
        <v>5.67E7</v>
      </c>
      <c r="K155" s="11"/>
      <c r="L155" s="10">
        <f t="shared" si="1"/>
        <v>56700000</v>
      </c>
      <c r="M155" s="12">
        <f>IFERROR(__xludf.DUMMYFUNCTION("+N155/L155"),0.625)</f>
        <v>0.625</v>
      </c>
      <c r="N155" s="13">
        <v>3.54375E7</v>
      </c>
      <c r="O155" s="13">
        <f t="shared" si="2"/>
        <v>21262500</v>
      </c>
      <c r="P155" s="8" t="s">
        <v>53</v>
      </c>
      <c r="Q155" s="8">
        <v>19925.0</v>
      </c>
      <c r="R155" s="8">
        <v>16125.0</v>
      </c>
      <c r="S155" s="14">
        <v>45687.0</v>
      </c>
      <c r="T155" s="15" t="s">
        <v>587</v>
      </c>
      <c r="U155" s="14">
        <v>45695.0</v>
      </c>
      <c r="V155" s="8"/>
      <c r="W155" s="8">
        <v>242.0</v>
      </c>
      <c r="X155" s="8">
        <f t="shared" si="3"/>
        <v>242</v>
      </c>
      <c r="Y155" s="8">
        <v>70.21276596</v>
      </c>
      <c r="Z155" s="17">
        <f>VLOOKUP(F155,RANGOFECHAFINAL,25,FALSE)</f>
        <v>45930</v>
      </c>
      <c r="AA155" s="8" t="s">
        <v>500</v>
      </c>
      <c r="AB155" s="8" t="s">
        <v>258</v>
      </c>
      <c r="AC155" s="8" t="s">
        <v>42</v>
      </c>
      <c r="AD155" s="7"/>
    </row>
    <row r="156">
      <c r="A156" s="7">
        <v>174.0</v>
      </c>
      <c r="B156" s="7" t="s">
        <v>581</v>
      </c>
      <c r="C156" s="7" t="s">
        <v>810</v>
      </c>
      <c r="D156" s="7" t="s">
        <v>32</v>
      </c>
      <c r="E156" s="8" t="s">
        <v>583</v>
      </c>
      <c r="F156" s="8" t="s">
        <v>811</v>
      </c>
      <c r="G156" s="9" t="s">
        <v>812</v>
      </c>
      <c r="H156" s="8" t="s">
        <v>813</v>
      </c>
      <c r="I156" s="8">
        <v>1.110461441E9</v>
      </c>
      <c r="J156" s="10">
        <v>9.1014E7</v>
      </c>
      <c r="K156" s="11"/>
      <c r="L156" s="10">
        <f t="shared" si="1"/>
        <v>91014000</v>
      </c>
      <c r="M156" s="12">
        <f>IFERROR(__xludf.DUMMYFUNCTION("+N156/L156"),0.45454545454545453)</f>
        <v>0.4545454545</v>
      </c>
      <c r="N156" s="13">
        <v>4.137E7</v>
      </c>
      <c r="O156" s="13">
        <f t="shared" si="2"/>
        <v>49644000</v>
      </c>
      <c r="P156" s="8" t="s">
        <v>53</v>
      </c>
      <c r="Q156" s="8">
        <v>20025.0</v>
      </c>
      <c r="R156" s="8">
        <v>16325.0</v>
      </c>
      <c r="S156" s="14">
        <v>45687.0</v>
      </c>
      <c r="T156" s="15" t="s">
        <v>587</v>
      </c>
      <c r="U156" s="14">
        <v>45694.0</v>
      </c>
      <c r="V156" s="8"/>
      <c r="W156" s="8">
        <v>333.0</v>
      </c>
      <c r="X156" s="8">
        <f t="shared" si="3"/>
        <v>333</v>
      </c>
      <c r="Y156" s="8">
        <v>50.76452599</v>
      </c>
      <c r="Z156" s="17">
        <f>VLOOKUP(F156,RANGOFECHAFINAL,25,FALSE)</f>
        <v>46021</v>
      </c>
      <c r="AA156" s="8" t="s">
        <v>500</v>
      </c>
      <c r="AB156" s="8" t="s">
        <v>258</v>
      </c>
      <c r="AC156" s="8" t="s">
        <v>42</v>
      </c>
      <c r="AD156" s="7"/>
    </row>
    <row r="157">
      <c r="A157" s="7">
        <v>175.0</v>
      </c>
      <c r="B157" s="7" t="s">
        <v>581</v>
      </c>
      <c r="C157" s="7" t="s">
        <v>814</v>
      </c>
      <c r="D157" s="7" t="s">
        <v>32</v>
      </c>
      <c r="E157" s="8" t="s">
        <v>583</v>
      </c>
      <c r="F157" s="8" t="s">
        <v>815</v>
      </c>
      <c r="G157" s="9" t="s">
        <v>816</v>
      </c>
      <c r="H157" s="8" t="s">
        <v>817</v>
      </c>
      <c r="I157" s="8">
        <v>1.032362123E9</v>
      </c>
      <c r="J157" s="10">
        <v>6.58E7</v>
      </c>
      <c r="K157" s="11"/>
      <c r="L157" s="10">
        <f t="shared" si="1"/>
        <v>65800000</v>
      </c>
      <c r="M157" s="12">
        <f>IFERROR(__xludf.DUMMYFUNCTION("+N157/L157"),0.5141843920972644)</f>
        <v>0.5141843921</v>
      </c>
      <c r="N157" s="13">
        <v>3.3833333E7</v>
      </c>
      <c r="O157" s="13">
        <f t="shared" si="2"/>
        <v>31966667</v>
      </c>
      <c r="P157" s="8" t="s">
        <v>77</v>
      </c>
      <c r="Q157" s="8">
        <v>14525.0</v>
      </c>
      <c r="R157" s="8">
        <v>19325.0</v>
      </c>
      <c r="S157" s="14">
        <v>45691.0</v>
      </c>
      <c r="T157" s="15" t="s">
        <v>587</v>
      </c>
      <c r="U157" s="14">
        <v>45694.0</v>
      </c>
      <c r="V157" s="8"/>
      <c r="W157" s="8">
        <v>284.0</v>
      </c>
      <c r="X157" s="8">
        <f t="shared" si="3"/>
        <v>284</v>
      </c>
      <c r="Y157" s="8">
        <v>58.45070423</v>
      </c>
      <c r="Z157" s="17">
        <f>VLOOKUP(F157,RANGOFECHAFINAL,25,FALSE)</f>
        <v>45978</v>
      </c>
      <c r="AA157" s="8" t="s">
        <v>500</v>
      </c>
      <c r="AB157" s="8" t="s">
        <v>258</v>
      </c>
      <c r="AC157" s="8" t="s">
        <v>42</v>
      </c>
      <c r="AD157" s="7"/>
    </row>
    <row r="158">
      <c r="A158" s="7">
        <v>176.0</v>
      </c>
      <c r="B158" s="7" t="s">
        <v>581</v>
      </c>
      <c r="C158" s="7" t="s">
        <v>818</v>
      </c>
      <c r="D158" s="7" t="s">
        <v>32</v>
      </c>
      <c r="E158" s="8" t="s">
        <v>583</v>
      </c>
      <c r="F158" s="8" t="s">
        <v>819</v>
      </c>
      <c r="G158" s="9" t="s">
        <v>820</v>
      </c>
      <c r="H158" s="8" t="s">
        <v>821</v>
      </c>
      <c r="I158" s="8">
        <v>5.530598E7</v>
      </c>
      <c r="J158" s="10">
        <v>7.5E7</v>
      </c>
      <c r="K158" s="11"/>
      <c r="L158" s="10">
        <f t="shared" si="1"/>
        <v>75000000</v>
      </c>
      <c r="M158" s="12">
        <f>IFERROR(__xludf.DUMMYFUNCTION("+N158/L158"),0.4866666666666667)</f>
        <v>0.4866666667</v>
      </c>
      <c r="N158" s="13">
        <v>3.65E7</v>
      </c>
      <c r="O158" s="13">
        <f t="shared" si="2"/>
        <v>38500000</v>
      </c>
      <c r="P158" s="8" t="s">
        <v>152</v>
      </c>
      <c r="Q158" s="8">
        <v>16525.0</v>
      </c>
      <c r="R158" s="8">
        <v>18625.0</v>
      </c>
      <c r="S158" s="14">
        <v>45691.0</v>
      </c>
      <c r="T158" s="15" t="s">
        <v>587</v>
      </c>
      <c r="U158" s="14">
        <v>45694.0</v>
      </c>
      <c r="V158" s="8"/>
      <c r="W158" s="8">
        <v>302.0</v>
      </c>
      <c r="X158" s="8">
        <f t="shared" si="3"/>
        <v>302</v>
      </c>
      <c r="Y158" s="8">
        <v>55.14950166</v>
      </c>
      <c r="Z158" s="17">
        <f>VLOOKUP(F158,RANGOFECHAFINAL,25,FALSE)</f>
        <v>45995</v>
      </c>
      <c r="AA158" s="8" t="s">
        <v>257</v>
      </c>
      <c r="AB158" s="8" t="s">
        <v>258</v>
      </c>
      <c r="AC158" s="8" t="s">
        <v>42</v>
      </c>
      <c r="AD158" s="7"/>
    </row>
    <row r="159">
      <c r="A159" s="7">
        <v>177.0</v>
      </c>
      <c r="B159" s="7" t="s">
        <v>581</v>
      </c>
      <c r="C159" s="7" t="s">
        <v>822</v>
      </c>
      <c r="D159" s="7" t="s">
        <v>32</v>
      </c>
      <c r="E159" s="8" t="s">
        <v>583</v>
      </c>
      <c r="F159" s="8" t="s">
        <v>823</v>
      </c>
      <c r="G159" s="9" t="s">
        <v>824</v>
      </c>
      <c r="H159" s="8" t="s">
        <v>825</v>
      </c>
      <c r="I159" s="8">
        <v>1.03117359E9</v>
      </c>
      <c r="J159" s="10">
        <v>6.6E7</v>
      </c>
      <c r="K159" s="11">
        <v>-600000.0</v>
      </c>
      <c r="L159" s="10">
        <f t="shared" si="1"/>
        <v>65400000</v>
      </c>
      <c r="M159" s="12">
        <f>IFERROR(__xludf.DUMMYFUNCTION("+N159/L159"),0.44954128440366975)</f>
        <v>0.4495412844</v>
      </c>
      <c r="N159" s="13">
        <v>2.94E7</v>
      </c>
      <c r="O159" s="13">
        <f t="shared" si="2"/>
        <v>36000000</v>
      </c>
      <c r="P159" s="8" t="s">
        <v>374</v>
      </c>
      <c r="Q159" s="8">
        <v>21125.0</v>
      </c>
      <c r="R159" s="8">
        <v>17525.0</v>
      </c>
      <c r="S159" s="14">
        <v>45691.0</v>
      </c>
      <c r="T159" s="15" t="s">
        <v>587</v>
      </c>
      <c r="U159" s="14">
        <v>45695.0</v>
      </c>
      <c r="V159" s="8"/>
      <c r="W159" s="8">
        <v>330.0</v>
      </c>
      <c r="X159" s="8">
        <f t="shared" si="3"/>
        <v>330</v>
      </c>
      <c r="Y159" s="8">
        <v>50.4587156</v>
      </c>
      <c r="Z159" s="17">
        <f>VLOOKUP(F159,RANGOFECHAFINAL,25,FALSE)</f>
        <v>46022</v>
      </c>
      <c r="AA159" s="8" t="s">
        <v>619</v>
      </c>
      <c r="AB159" s="8" t="s">
        <v>106</v>
      </c>
      <c r="AC159" s="8" t="s">
        <v>42</v>
      </c>
      <c r="AD159" s="7"/>
    </row>
    <row r="160">
      <c r="A160" s="7">
        <v>178.0</v>
      </c>
      <c r="B160" s="7" t="s">
        <v>581</v>
      </c>
      <c r="C160" s="7" t="s">
        <v>826</v>
      </c>
      <c r="D160" s="7" t="s">
        <v>32</v>
      </c>
      <c r="E160" s="8" t="s">
        <v>583</v>
      </c>
      <c r="F160" s="8" t="s">
        <v>827</v>
      </c>
      <c r="G160" s="9" t="s">
        <v>828</v>
      </c>
      <c r="H160" s="8" t="s">
        <v>829</v>
      </c>
      <c r="I160" s="8">
        <v>1.032379284E9</v>
      </c>
      <c r="J160" s="10">
        <v>1.44733333E8</v>
      </c>
      <c r="K160" s="11">
        <v>-8666660.0</v>
      </c>
      <c r="L160" s="10">
        <f t="shared" si="1"/>
        <v>136066673</v>
      </c>
      <c r="M160" s="12">
        <f>IFERROR(__xludf.DUMMYFUNCTION("+N160/L160"),0.42675157494296934)</f>
        <v>0.4267515749</v>
      </c>
      <c r="N160" s="13">
        <v>5.8066667E7</v>
      </c>
      <c r="O160" s="13">
        <f t="shared" si="2"/>
        <v>78000006</v>
      </c>
      <c r="P160" s="8" t="s">
        <v>830</v>
      </c>
      <c r="Q160" s="8">
        <v>19325.0</v>
      </c>
      <c r="R160" s="8">
        <v>18025.0</v>
      </c>
      <c r="S160" s="14">
        <v>45691.0</v>
      </c>
      <c r="T160" s="15" t="s">
        <v>587</v>
      </c>
      <c r="U160" s="14">
        <v>45695.0</v>
      </c>
      <c r="V160" s="8"/>
      <c r="W160" s="8">
        <v>317.0</v>
      </c>
      <c r="X160" s="8">
        <f t="shared" si="3"/>
        <v>317</v>
      </c>
      <c r="Y160" s="8">
        <v>50.4587156</v>
      </c>
      <c r="Z160" s="17">
        <f>VLOOKUP(F160,RANGOFECHAFINAL,25,FALSE)</f>
        <v>46022</v>
      </c>
      <c r="AA160" s="8" t="s">
        <v>433</v>
      </c>
      <c r="AB160" s="8" t="s">
        <v>223</v>
      </c>
      <c r="AC160" s="8" t="s">
        <v>42</v>
      </c>
      <c r="AD160" s="7"/>
    </row>
    <row r="161" hidden="1">
      <c r="A161" s="7">
        <v>179.0</v>
      </c>
      <c r="B161" s="7" t="s">
        <v>581</v>
      </c>
      <c r="C161" s="7" t="s">
        <v>831</v>
      </c>
      <c r="D161" s="7" t="s">
        <v>32</v>
      </c>
      <c r="E161" s="8" t="s">
        <v>781</v>
      </c>
      <c r="F161" s="8" t="s">
        <v>832</v>
      </c>
      <c r="G161" s="9" t="s">
        <v>833</v>
      </c>
      <c r="H161" s="8" t="s">
        <v>834</v>
      </c>
      <c r="I161" s="8">
        <v>1.235539689E9</v>
      </c>
      <c r="J161" s="10">
        <v>4.1419E7</v>
      </c>
      <c r="K161" s="11">
        <v>-658000.0</v>
      </c>
      <c r="L161" s="10">
        <f t="shared" si="1"/>
        <v>40761000</v>
      </c>
      <c r="M161" s="12">
        <f>IFERROR(__xludf.DUMMYFUNCTION("+N161/L161"),0.4204555089423714)</f>
        <v>0.4204555089</v>
      </c>
      <c r="N161" s="13">
        <v>1.7138187E7</v>
      </c>
      <c r="O161" s="13">
        <f t="shared" si="2"/>
        <v>23622813</v>
      </c>
      <c r="P161" s="8" t="s">
        <v>374</v>
      </c>
      <c r="Q161" s="8">
        <v>20925.0</v>
      </c>
      <c r="R161" s="8">
        <v>17425.0</v>
      </c>
      <c r="S161" s="14">
        <v>45691.0</v>
      </c>
      <c r="T161" s="15" t="s">
        <v>587</v>
      </c>
      <c r="U161" s="14">
        <v>45695.0</v>
      </c>
      <c r="V161" s="8"/>
      <c r="W161" s="8">
        <v>330.0</v>
      </c>
      <c r="X161" s="8">
        <f t="shared" si="3"/>
        <v>330</v>
      </c>
      <c r="Y161" s="8">
        <v>50.4587156</v>
      </c>
      <c r="Z161" s="17">
        <f>VLOOKUP(F161,RANGOFECHAFINAL,25,FALSE)</f>
        <v>46022</v>
      </c>
      <c r="AA161" s="8" t="s">
        <v>619</v>
      </c>
      <c r="AB161" s="8" t="s">
        <v>106</v>
      </c>
      <c r="AC161" s="8" t="s">
        <v>42</v>
      </c>
      <c r="AD161" s="7"/>
    </row>
    <row r="162">
      <c r="A162" s="7">
        <v>180.0</v>
      </c>
      <c r="B162" s="7" t="s">
        <v>581</v>
      </c>
      <c r="C162" s="7" t="s">
        <v>835</v>
      </c>
      <c r="D162" s="7" t="s">
        <v>32</v>
      </c>
      <c r="E162" s="8" t="s">
        <v>583</v>
      </c>
      <c r="F162" s="8" t="s">
        <v>836</v>
      </c>
      <c r="G162" s="9" t="s">
        <v>837</v>
      </c>
      <c r="H162" s="8" t="s">
        <v>838</v>
      </c>
      <c r="I162" s="8">
        <v>1.121891311E9</v>
      </c>
      <c r="J162" s="10">
        <v>1.012E8</v>
      </c>
      <c r="K162" s="11">
        <v>-920000.0</v>
      </c>
      <c r="L162" s="10">
        <f t="shared" si="1"/>
        <v>100280000</v>
      </c>
      <c r="M162" s="12">
        <f>IFERROR(__xludf.DUMMYFUNCTION("+N162/L162"),0.44954128440366975)</f>
        <v>0.4495412844</v>
      </c>
      <c r="N162" s="13">
        <v>4.508E7</v>
      </c>
      <c r="O162" s="13">
        <f t="shared" si="2"/>
        <v>55200000</v>
      </c>
      <c r="P162" s="8" t="s">
        <v>38</v>
      </c>
      <c r="Q162" s="8">
        <v>19425.0</v>
      </c>
      <c r="R162" s="8">
        <v>18425.0</v>
      </c>
      <c r="S162" s="14">
        <v>45691.0</v>
      </c>
      <c r="T162" s="15" t="s">
        <v>587</v>
      </c>
      <c r="U162" s="14">
        <v>45694.0</v>
      </c>
      <c r="V162" s="8"/>
      <c r="W162" s="8">
        <v>330.0</v>
      </c>
      <c r="X162" s="8">
        <f t="shared" si="3"/>
        <v>330</v>
      </c>
      <c r="Y162" s="8">
        <v>50.6097561</v>
      </c>
      <c r="Z162" s="17">
        <v>46022.0</v>
      </c>
      <c r="AA162" s="8" t="s">
        <v>328</v>
      </c>
      <c r="AB162" s="8" t="s">
        <v>258</v>
      </c>
      <c r="AC162" s="8" t="s">
        <v>42</v>
      </c>
      <c r="AD162" s="7"/>
    </row>
    <row r="163">
      <c r="A163" s="7">
        <v>181.0</v>
      </c>
      <c r="B163" s="7" t="s">
        <v>581</v>
      </c>
      <c r="C163" s="7" t="s">
        <v>839</v>
      </c>
      <c r="D163" s="7" t="s">
        <v>32</v>
      </c>
      <c r="E163" s="8" t="s">
        <v>583</v>
      </c>
      <c r="F163" s="8" t="s">
        <v>840</v>
      </c>
      <c r="G163" s="9" t="s">
        <v>841</v>
      </c>
      <c r="H163" s="8" t="s">
        <v>842</v>
      </c>
      <c r="I163" s="8">
        <v>1.193095704E9</v>
      </c>
      <c r="J163" s="10">
        <v>3.613995E7</v>
      </c>
      <c r="K163" s="11">
        <v>-328545.0</v>
      </c>
      <c r="L163" s="10">
        <f t="shared" si="1"/>
        <v>35811405</v>
      </c>
      <c r="M163" s="12">
        <f>IFERROR(__xludf.DUMMYFUNCTION("+N163/L163"),0.44954128440366975)</f>
        <v>0.4495412844</v>
      </c>
      <c r="N163" s="13">
        <v>1.6098705E7</v>
      </c>
      <c r="O163" s="13">
        <f t="shared" si="2"/>
        <v>19712700</v>
      </c>
      <c r="P163" s="8" t="s">
        <v>91</v>
      </c>
      <c r="Q163" s="8">
        <v>21725.0</v>
      </c>
      <c r="R163" s="8">
        <v>17125.0</v>
      </c>
      <c r="S163" s="14">
        <v>45691.0</v>
      </c>
      <c r="T163" s="15" t="s">
        <v>587</v>
      </c>
      <c r="U163" s="14">
        <v>45695.0</v>
      </c>
      <c r="V163" s="8"/>
      <c r="W163" s="8">
        <v>330.0</v>
      </c>
      <c r="X163" s="8">
        <f t="shared" si="3"/>
        <v>330</v>
      </c>
      <c r="Y163" s="8">
        <v>50.4587156</v>
      </c>
      <c r="Z163" s="17">
        <f>VLOOKUP(F163,RANGOFECHAFINAL,25,FALSE)</f>
        <v>46022</v>
      </c>
      <c r="AA163" s="8" t="s">
        <v>92</v>
      </c>
      <c r="AB163" s="8" t="s">
        <v>165</v>
      </c>
      <c r="AC163" s="8" t="s">
        <v>42</v>
      </c>
      <c r="AD163" s="7"/>
    </row>
    <row r="164">
      <c r="A164" s="7">
        <v>182.0</v>
      </c>
      <c r="B164" s="7" t="s">
        <v>581</v>
      </c>
      <c r="C164" s="7" t="s">
        <v>843</v>
      </c>
      <c r="D164" s="7" t="s">
        <v>32</v>
      </c>
      <c r="E164" s="8" t="s">
        <v>583</v>
      </c>
      <c r="F164" s="8" t="s">
        <v>844</v>
      </c>
      <c r="G164" s="9" t="s">
        <v>845</v>
      </c>
      <c r="H164" s="8" t="s">
        <v>846</v>
      </c>
      <c r="I164" s="8">
        <v>1.003586805E9</v>
      </c>
      <c r="J164" s="10">
        <v>3.4497225E7</v>
      </c>
      <c r="K164" s="11"/>
      <c r="L164" s="10">
        <f t="shared" si="1"/>
        <v>34497225</v>
      </c>
      <c r="M164" s="12">
        <f>IFERROR(__xludf.DUMMYFUNCTION("+N164/L164"),0.4666666666666667)</f>
        <v>0.4666666667</v>
      </c>
      <c r="N164" s="13">
        <v>1.6098705E7</v>
      </c>
      <c r="O164" s="13">
        <f t="shared" si="2"/>
        <v>18398520</v>
      </c>
      <c r="P164" s="8" t="s">
        <v>91</v>
      </c>
      <c r="Q164" s="8">
        <v>20425.0</v>
      </c>
      <c r="R164" s="8">
        <v>17025.0</v>
      </c>
      <c r="S164" s="14">
        <v>45691.0</v>
      </c>
      <c r="T164" s="15" t="s">
        <v>587</v>
      </c>
      <c r="U164" s="14">
        <v>45694.0</v>
      </c>
      <c r="V164" s="8"/>
      <c r="W164" s="8">
        <v>317.0</v>
      </c>
      <c r="X164" s="8">
        <f t="shared" si="3"/>
        <v>317</v>
      </c>
      <c r="Y164" s="8">
        <v>52.6984127</v>
      </c>
      <c r="Z164" s="17">
        <f>VLOOKUP(F164,RANGOFECHAFINAL,25,FALSE)</f>
        <v>46009</v>
      </c>
      <c r="AA164" s="8" t="s">
        <v>847</v>
      </c>
      <c r="AB164" s="8" t="s">
        <v>848</v>
      </c>
      <c r="AC164" s="8" t="s">
        <v>42</v>
      </c>
      <c r="AD164" s="7"/>
    </row>
    <row r="165" hidden="1">
      <c r="A165" s="7">
        <v>183.0</v>
      </c>
      <c r="B165" s="7" t="s">
        <v>581</v>
      </c>
      <c r="C165" s="7" t="s">
        <v>849</v>
      </c>
      <c r="D165" s="7" t="s">
        <v>32</v>
      </c>
      <c r="E165" s="8" t="s">
        <v>781</v>
      </c>
      <c r="F165" s="8" t="s">
        <v>850</v>
      </c>
      <c r="G165" s="9" t="s">
        <v>851</v>
      </c>
      <c r="H165" s="8" t="s">
        <v>852</v>
      </c>
      <c r="I165" s="8">
        <v>1.110503697E9</v>
      </c>
      <c r="J165" s="10">
        <v>3.5028E7</v>
      </c>
      <c r="K165" s="11"/>
      <c r="L165" s="10">
        <f t="shared" si="1"/>
        <v>35028000</v>
      </c>
      <c r="M165" s="12">
        <f>IFERROR(__xludf.DUMMYFUNCTION("+N165/L165"),0.4866666666666667)</f>
        <v>0.4866666667</v>
      </c>
      <c r="N165" s="13">
        <v>1.704696E7</v>
      </c>
      <c r="O165" s="13">
        <f t="shared" si="2"/>
        <v>17981040</v>
      </c>
      <c r="P165" s="8" t="s">
        <v>91</v>
      </c>
      <c r="Q165" s="8">
        <v>21425.0</v>
      </c>
      <c r="R165" s="8">
        <v>19125.0</v>
      </c>
      <c r="S165" s="14">
        <v>45692.0</v>
      </c>
      <c r="T165" s="15" t="s">
        <v>587</v>
      </c>
      <c r="U165" s="19">
        <v>45695.0</v>
      </c>
      <c r="V165" s="8"/>
      <c r="W165" s="8">
        <v>302.0</v>
      </c>
      <c r="X165" s="8">
        <f t="shared" si="3"/>
        <v>302</v>
      </c>
      <c r="Y165" s="8">
        <v>55.0</v>
      </c>
      <c r="Z165" s="17">
        <f>VLOOKUP(F165,RANGOFECHAFINAL,25,FALSE)</f>
        <v>45995</v>
      </c>
      <c r="AA165" s="8" t="s">
        <v>268</v>
      </c>
      <c r="AB165" s="8" t="s">
        <v>848</v>
      </c>
      <c r="AC165" s="8" t="s">
        <v>42</v>
      </c>
      <c r="AD165" s="7"/>
    </row>
    <row r="166">
      <c r="A166" s="7">
        <v>184.0</v>
      </c>
      <c r="B166" s="7" t="s">
        <v>581</v>
      </c>
      <c r="C166" s="7" t="s">
        <v>853</v>
      </c>
      <c r="D166" s="7" t="s">
        <v>32</v>
      </c>
      <c r="E166" s="21" t="s">
        <v>854</v>
      </c>
      <c r="F166" s="8" t="s">
        <v>855</v>
      </c>
      <c r="G166" s="9" t="s">
        <v>856</v>
      </c>
      <c r="H166" s="8" t="s">
        <v>857</v>
      </c>
      <c r="I166" s="24">
        <v>9.015611938E9</v>
      </c>
      <c r="J166" s="10">
        <v>3090000.0</v>
      </c>
      <c r="K166" s="11"/>
      <c r="L166" s="10">
        <f t="shared" si="1"/>
        <v>3090000</v>
      </c>
      <c r="M166" s="12">
        <f>IFERROR(__xludf.DUMMYFUNCTION("+N166/L166"),0.0)</f>
        <v>0</v>
      </c>
      <c r="N166" s="13">
        <v>0.0</v>
      </c>
      <c r="O166" s="13">
        <f t="shared" si="2"/>
        <v>3090000</v>
      </c>
      <c r="P166" s="8" t="s">
        <v>858</v>
      </c>
      <c r="Q166" s="8">
        <v>21525.0</v>
      </c>
      <c r="R166" s="8">
        <v>18825.0</v>
      </c>
      <c r="S166" s="14">
        <v>45691.0</v>
      </c>
      <c r="T166" s="19">
        <v>45694.0</v>
      </c>
      <c r="U166" s="14">
        <v>45695.0</v>
      </c>
      <c r="V166" s="8"/>
      <c r="W166" s="8">
        <v>327.0</v>
      </c>
      <c r="X166" s="8">
        <f t="shared" si="3"/>
        <v>327</v>
      </c>
      <c r="Y166" s="8">
        <v>50.4587156</v>
      </c>
      <c r="Z166" s="17">
        <f>VLOOKUP(F166,RANGOFECHAFINAL,25,FALSE)</f>
        <v>46022</v>
      </c>
      <c r="AA166" s="8" t="s">
        <v>86</v>
      </c>
      <c r="AB166" s="8" t="s">
        <v>848</v>
      </c>
      <c r="AC166" s="8" t="s">
        <v>42</v>
      </c>
      <c r="AD166" s="7"/>
    </row>
    <row r="167">
      <c r="A167" s="7">
        <v>185.0</v>
      </c>
      <c r="B167" s="7" t="s">
        <v>581</v>
      </c>
      <c r="C167" s="7" t="s">
        <v>859</v>
      </c>
      <c r="D167" s="7" t="s">
        <v>32</v>
      </c>
      <c r="E167" s="8" t="s">
        <v>583</v>
      </c>
      <c r="F167" s="8" t="s">
        <v>860</v>
      </c>
      <c r="G167" s="9" t="s">
        <v>861</v>
      </c>
      <c r="H167" s="8" t="s">
        <v>862</v>
      </c>
      <c r="I167" s="8">
        <v>1.026592381E9</v>
      </c>
      <c r="J167" s="10">
        <v>3.613995E7</v>
      </c>
      <c r="K167" s="11">
        <v>-328545.0</v>
      </c>
      <c r="L167" s="10">
        <f t="shared" si="1"/>
        <v>35811405</v>
      </c>
      <c r="M167" s="12">
        <f>IFERROR(__xludf.DUMMYFUNCTION("+N167/L167"),0.44954128440366975)</f>
        <v>0.4495412844</v>
      </c>
      <c r="N167" s="13">
        <v>1.6098705E7</v>
      </c>
      <c r="O167" s="13">
        <f t="shared" si="2"/>
        <v>19712700</v>
      </c>
      <c r="P167" s="8" t="s">
        <v>91</v>
      </c>
      <c r="Q167" s="8">
        <v>19725.0</v>
      </c>
      <c r="R167" s="8">
        <v>17625.0</v>
      </c>
      <c r="S167" s="14">
        <v>45691.0</v>
      </c>
      <c r="T167" s="15" t="s">
        <v>587</v>
      </c>
      <c r="U167" s="14">
        <v>45701.0</v>
      </c>
      <c r="V167" s="8"/>
      <c r="W167" s="8">
        <v>330.0</v>
      </c>
      <c r="X167" s="8">
        <f t="shared" si="3"/>
        <v>330</v>
      </c>
      <c r="Y167" s="8">
        <v>49.53271028</v>
      </c>
      <c r="Z167" s="17">
        <f>VLOOKUP(F167,RANGOFECHAFINAL,25,FALSE)</f>
        <v>46022</v>
      </c>
      <c r="AA167" s="8" t="s">
        <v>92</v>
      </c>
      <c r="AB167" s="8" t="s">
        <v>165</v>
      </c>
      <c r="AC167" s="8" t="s">
        <v>42</v>
      </c>
      <c r="AD167" s="7"/>
    </row>
    <row r="168">
      <c r="A168" s="7">
        <v>186.0</v>
      </c>
      <c r="B168" s="7" t="s">
        <v>581</v>
      </c>
      <c r="C168" s="7"/>
      <c r="D168" s="7" t="s">
        <v>32</v>
      </c>
      <c r="E168" s="21" t="s">
        <v>520</v>
      </c>
      <c r="F168" s="8" t="s">
        <v>863</v>
      </c>
      <c r="G168" s="9" t="s">
        <v>861</v>
      </c>
      <c r="H168" s="8" t="s">
        <v>864</v>
      </c>
      <c r="I168" s="8">
        <v>1.098822094E9</v>
      </c>
      <c r="J168" s="10">
        <v>3.613995E7</v>
      </c>
      <c r="K168" s="11">
        <v>-438060.0</v>
      </c>
      <c r="L168" s="10">
        <f t="shared" si="1"/>
        <v>35701890</v>
      </c>
      <c r="M168" s="12">
        <f>IFERROR(__xludf.DUMMYFUNCTION("+N168/L168"),0.44785276073619634)</f>
        <v>0.4478527607</v>
      </c>
      <c r="N168" s="13">
        <v>1.598919E7</v>
      </c>
      <c r="O168" s="13">
        <f t="shared" si="2"/>
        <v>19712700</v>
      </c>
      <c r="P168" s="8" t="s">
        <v>91</v>
      </c>
      <c r="Q168" s="8">
        <v>19625.0</v>
      </c>
      <c r="R168" s="8">
        <v>18225.0</v>
      </c>
      <c r="S168" s="14">
        <v>45691.0</v>
      </c>
      <c r="T168" s="15" t="s">
        <v>587</v>
      </c>
      <c r="U168" s="14">
        <v>45694.0</v>
      </c>
      <c r="V168" s="8"/>
      <c r="W168" s="8">
        <v>329.0</v>
      </c>
      <c r="X168" s="8">
        <f t="shared" si="3"/>
        <v>329</v>
      </c>
      <c r="Y168" s="8">
        <v>50.6097561</v>
      </c>
      <c r="Z168" s="17">
        <f>VLOOKUP(F168,RANGOFECHAFINAL,25,FALSE)</f>
        <v>46022</v>
      </c>
      <c r="AA168" s="8" t="s">
        <v>217</v>
      </c>
      <c r="AB168" s="8" t="s">
        <v>165</v>
      </c>
      <c r="AC168" s="8" t="s">
        <v>42</v>
      </c>
      <c r="AD168" s="7"/>
    </row>
    <row r="169">
      <c r="A169" s="7">
        <v>187.0</v>
      </c>
      <c r="B169" s="7" t="s">
        <v>581</v>
      </c>
      <c r="C169" s="7" t="s">
        <v>865</v>
      </c>
      <c r="D169" s="7" t="s">
        <v>32</v>
      </c>
      <c r="E169" s="21" t="s">
        <v>520</v>
      </c>
      <c r="F169" s="8" t="s">
        <v>866</v>
      </c>
      <c r="G169" s="9" t="s">
        <v>867</v>
      </c>
      <c r="H169" s="8" t="s">
        <v>868</v>
      </c>
      <c r="I169" s="8">
        <v>1.078371849E9</v>
      </c>
      <c r="J169" s="10">
        <v>4.13435E7</v>
      </c>
      <c r="K169" s="11">
        <v>-375850.0</v>
      </c>
      <c r="L169" s="10">
        <f t="shared" si="1"/>
        <v>40967650</v>
      </c>
      <c r="M169" s="12">
        <f>IFERROR(__xludf.DUMMYFUNCTION("+N169/L169"),0.44954128440366975)</f>
        <v>0.4495412844</v>
      </c>
      <c r="N169" s="13">
        <v>1.841665E7</v>
      </c>
      <c r="O169" s="13">
        <f t="shared" si="2"/>
        <v>22551000</v>
      </c>
      <c r="P169" s="8" t="s">
        <v>53</v>
      </c>
      <c r="Q169" s="8">
        <v>17725.0</v>
      </c>
      <c r="R169" s="8">
        <v>17325.0</v>
      </c>
      <c r="S169" s="14">
        <v>45691.0</v>
      </c>
      <c r="T169" s="15" t="s">
        <v>587</v>
      </c>
      <c r="U169" s="14">
        <v>45694.0</v>
      </c>
      <c r="V169" s="8"/>
      <c r="W169" s="8">
        <v>330.0</v>
      </c>
      <c r="X169" s="8">
        <f t="shared" si="3"/>
        <v>330</v>
      </c>
      <c r="Y169" s="8">
        <v>50.6097561</v>
      </c>
      <c r="Z169" s="17">
        <f>VLOOKUP(F169,RANGOFECHAFINAL,25,FALSE)</f>
        <v>46022</v>
      </c>
      <c r="AA169" s="8" t="s">
        <v>869</v>
      </c>
      <c r="AB169" s="8" t="s">
        <v>182</v>
      </c>
      <c r="AC169" s="8" t="s">
        <v>42</v>
      </c>
      <c r="AD169" s="7"/>
    </row>
    <row r="170">
      <c r="A170" s="7">
        <v>188.0</v>
      </c>
      <c r="B170" s="7" t="s">
        <v>581</v>
      </c>
      <c r="C170" s="7" t="s">
        <v>870</v>
      </c>
      <c r="D170" s="7" t="s">
        <v>32</v>
      </c>
      <c r="E170" s="21" t="s">
        <v>520</v>
      </c>
      <c r="F170" s="8" t="s">
        <v>871</v>
      </c>
      <c r="G170" s="9" t="s">
        <v>872</v>
      </c>
      <c r="H170" s="8" t="s">
        <v>873</v>
      </c>
      <c r="I170" s="8">
        <v>1.15245016E9</v>
      </c>
      <c r="J170" s="10">
        <v>4.593015E7</v>
      </c>
      <c r="K170" s="11"/>
      <c r="L170" s="10">
        <f t="shared" si="1"/>
        <v>45930150</v>
      </c>
      <c r="M170" s="12">
        <f>IFERROR(__xludf.DUMMYFUNCTION("+N170/L170"),0.4634920634920635)</f>
        <v>0.4634920635</v>
      </c>
      <c r="N170" s="13">
        <v>2.128826E7</v>
      </c>
      <c r="O170" s="13">
        <f t="shared" si="2"/>
        <v>24641890</v>
      </c>
      <c r="P170" s="8" t="s">
        <v>91</v>
      </c>
      <c r="Q170" s="8">
        <v>19825.0</v>
      </c>
      <c r="R170" s="8">
        <v>17825.0</v>
      </c>
      <c r="S170" s="14">
        <v>45691.0</v>
      </c>
      <c r="T170" s="15" t="s">
        <v>587</v>
      </c>
      <c r="U170" s="14">
        <v>45694.0</v>
      </c>
      <c r="V170" s="8"/>
      <c r="W170" s="8">
        <v>317.0</v>
      </c>
      <c r="X170" s="8">
        <f t="shared" si="3"/>
        <v>317</v>
      </c>
      <c r="Y170" s="8">
        <v>52.53164557</v>
      </c>
      <c r="Z170" s="17">
        <f>VLOOKUP(F170,RANGOFECHAFINAL,25,FALSE)</f>
        <v>46010</v>
      </c>
      <c r="AA170" s="8" t="s">
        <v>874</v>
      </c>
      <c r="AB170" s="8" t="s">
        <v>165</v>
      </c>
      <c r="AC170" s="8" t="s">
        <v>42</v>
      </c>
      <c r="AD170" s="7"/>
    </row>
    <row r="171">
      <c r="A171" s="7">
        <v>189.0</v>
      </c>
      <c r="B171" s="7" t="s">
        <v>581</v>
      </c>
      <c r="C171" s="7" t="s">
        <v>875</v>
      </c>
      <c r="D171" s="7" t="s">
        <v>32</v>
      </c>
      <c r="E171" s="21" t="s">
        <v>520</v>
      </c>
      <c r="F171" s="8" t="s">
        <v>876</v>
      </c>
      <c r="G171" s="9" t="s">
        <v>877</v>
      </c>
      <c r="H171" s="8" t="s">
        <v>878</v>
      </c>
      <c r="I171" s="8">
        <v>1.053826184E9</v>
      </c>
      <c r="J171" s="10">
        <v>3.957681E7</v>
      </c>
      <c r="K171" s="11">
        <v>-242060.0</v>
      </c>
      <c r="L171" s="10">
        <f t="shared" si="1"/>
        <v>39334750</v>
      </c>
      <c r="M171" s="12">
        <f>IFERROR(__xludf.DUMMYFUNCTION("+N171/L171"),0.4461538461538462)</f>
        <v>0.4461538462</v>
      </c>
      <c r="N171" s="13">
        <v>1.754935E7</v>
      </c>
      <c r="O171" s="13">
        <f t="shared" si="2"/>
        <v>21785400</v>
      </c>
      <c r="P171" s="8" t="s">
        <v>91</v>
      </c>
      <c r="Q171" s="8">
        <v>19525.0</v>
      </c>
      <c r="R171" s="8">
        <v>19225.0</v>
      </c>
      <c r="S171" s="14">
        <v>45692.0</v>
      </c>
      <c r="T171" s="15" t="s">
        <v>587</v>
      </c>
      <c r="U171" s="14">
        <v>45695.0</v>
      </c>
      <c r="V171" s="8"/>
      <c r="W171" s="8">
        <v>328.0</v>
      </c>
      <c r="X171" s="8">
        <f t="shared" si="3"/>
        <v>328</v>
      </c>
      <c r="Y171" s="8">
        <v>50.4587156</v>
      </c>
      <c r="Z171" s="17">
        <v>46022.0</v>
      </c>
      <c r="AA171" s="8" t="s">
        <v>561</v>
      </c>
      <c r="AB171" s="8" t="s">
        <v>165</v>
      </c>
      <c r="AC171" s="8" t="s">
        <v>42</v>
      </c>
      <c r="AD171" s="7"/>
    </row>
    <row r="172">
      <c r="A172" s="7">
        <v>190.0</v>
      </c>
      <c r="B172" s="7" t="s">
        <v>581</v>
      </c>
      <c r="C172" s="7" t="s">
        <v>879</v>
      </c>
      <c r="D172" s="7" t="s">
        <v>32</v>
      </c>
      <c r="E172" s="21" t="s">
        <v>520</v>
      </c>
      <c r="F172" s="8" t="s">
        <v>880</v>
      </c>
      <c r="G172" s="9" t="s">
        <v>841</v>
      </c>
      <c r="H172" s="8" t="s">
        <v>881</v>
      </c>
      <c r="I172" s="8">
        <v>761786.0</v>
      </c>
      <c r="J172" s="10">
        <v>3.613995E7</v>
      </c>
      <c r="K172" s="11">
        <v>-438060.0</v>
      </c>
      <c r="L172" s="10">
        <f t="shared" si="1"/>
        <v>35701890</v>
      </c>
      <c r="M172" s="12">
        <f>IFERROR(__xludf.DUMMYFUNCTION("+N172/L172"),0.44785276073619634)</f>
        <v>0.4478527607</v>
      </c>
      <c r="N172" s="13">
        <v>1.598919E7</v>
      </c>
      <c r="O172" s="13">
        <f t="shared" si="2"/>
        <v>19712700</v>
      </c>
      <c r="P172" s="8" t="s">
        <v>91</v>
      </c>
      <c r="Q172" s="8">
        <v>21625.0</v>
      </c>
      <c r="R172" s="8">
        <v>18125.0</v>
      </c>
      <c r="S172" s="14">
        <v>45691.0</v>
      </c>
      <c r="T172" s="15" t="s">
        <v>587</v>
      </c>
      <c r="U172" s="14">
        <v>45695.0</v>
      </c>
      <c r="V172" s="8"/>
      <c r="W172" s="8">
        <v>329.0</v>
      </c>
      <c r="X172" s="8">
        <f t="shared" si="3"/>
        <v>329</v>
      </c>
      <c r="Y172" s="8">
        <v>50.4587156</v>
      </c>
      <c r="Z172" s="17">
        <f>VLOOKUP(F172,RANGOFECHAFINAL,25,FALSE)</f>
        <v>46022</v>
      </c>
      <c r="AA172" s="8" t="s">
        <v>561</v>
      </c>
      <c r="AB172" s="8" t="s">
        <v>165</v>
      </c>
      <c r="AC172" s="8" t="s">
        <v>42</v>
      </c>
      <c r="AD172" s="7"/>
    </row>
    <row r="173">
      <c r="A173" s="7">
        <v>191.0</v>
      </c>
      <c r="B173" s="7" t="s">
        <v>581</v>
      </c>
      <c r="C173" s="7" t="s">
        <v>882</v>
      </c>
      <c r="D173" s="7" t="s">
        <v>32</v>
      </c>
      <c r="E173" s="21" t="s">
        <v>520</v>
      </c>
      <c r="F173" s="8" t="s">
        <v>883</v>
      </c>
      <c r="G173" s="9" t="s">
        <v>884</v>
      </c>
      <c r="H173" s="8" t="s">
        <v>885</v>
      </c>
      <c r="I173" s="8">
        <v>1.007688013E9</v>
      </c>
      <c r="J173" s="10">
        <v>3.795E7</v>
      </c>
      <c r="K173" s="11">
        <v>-460000.0</v>
      </c>
      <c r="L173" s="10">
        <f t="shared" si="1"/>
        <v>37490000</v>
      </c>
      <c r="M173" s="12">
        <f>IFERROR(__xludf.DUMMYFUNCTION("+N173/L173"),0.44785276073619634)</f>
        <v>0.4478527607</v>
      </c>
      <c r="N173" s="13">
        <v>1.679E7</v>
      </c>
      <c r="O173" s="13">
        <f t="shared" si="2"/>
        <v>20700000</v>
      </c>
      <c r="P173" s="8" t="s">
        <v>77</v>
      </c>
      <c r="Q173" s="8">
        <v>17025.0</v>
      </c>
      <c r="R173" s="8">
        <v>19025.0</v>
      </c>
      <c r="S173" s="14">
        <v>45691.0</v>
      </c>
      <c r="T173" s="15" t="s">
        <v>587</v>
      </c>
      <c r="U173" s="14">
        <v>45695.0</v>
      </c>
      <c r="V173" s="8"/>
      <c r="W173" s="8">
        <v>329.0</v>
      </c>
      <c r="X173" s="8">
        <f t="shared" si="3"/>
        <v>329</v>
      </c>
      <c r="Y173" s="8">
        <v>50.4587156</v>
      </c>
      <c r="Z173" s="17">
        <f>VLOOKUP(F173,RANGOFECHAFINAL,25,FALSE)</f>
        <v>46022</v>
      </c>
      <c r="AA173" s="8" t="s">
        <v>229</v>
      </c>
      <c r="AB173" s="8" t="s">
        <v>537</v>
      </c>
      <c r="AC173" s="8" t="s">
        <v>42</v>
      </c>
      <c r="AD173" s="7"/>
    </row>
    <row r="174">
      <c r="A174" s="7">
        <v>192.0</v>
      </c>
      <c r="B174" s="7" t="s">
        <v>581</v>
      </c>
      <c r="C174" s="7" t="s">
        <v>886</v>
      </c>
      <c r="D174" s="7" t="s">
        <v>32</v>
      </c>
      <c r="E174" s="21" t="s">
        <v>520</v>
      </c>
      <c r="F174" s="8" t="s">
        <v>887</v>
      </c>
      <c r="G174" s="9" t="s">
        <v>888</v>
      </c>
      <c r="H174" s="8" t="s">
        <v>889</v>
      </c>
      <c r="I174" s="8">
        <v>1.000288699E9</v>
      </c>
      <c r="J174" s="10">
        <v>3.89588E7</v>
      </c>
      <c r="K174" s="11">
        <v>-438060.0</v>
      </c>
      <c r="L174" s="10">
        <f t="shared" si="1"/>
        <v>38520740</v>
      </c>
      <c r="M174" s="12">
        <f>IFERROR(__xludf.DUMMYFUNCTION("+N174/L174"),0.41825099933178855)</f>
        <v>0.4182509993</v>
      </c>
      <c r="N174" s="13">
        <v>1.6111338E7</v>
      </c>
      <c r="O174" s="13">
        <f t="shared" si="2"/>
        <v>22409402</v>
      </c>
      <c r="P174" s="8" t="s">
        <v>77</v>
      </c>
      <c r="Q174" s="8">
        <v>16925.0</v>
      </c>
      <c r="R174" s="8">
        <v>18725.0</v>
      </c>
      <c r="S174" s="14">
        <v>45691.0</v>
      </c>
      <c r="T174" s="15" t="s">
        <v>587</v>
      </c>
      <c r="U174" s="14">
        <v>45698.0</v>
      </c>
      <c r="V174" s="8"/>
      <c r="W174" s="8">
        <v>329.0</v>
      </c>
      <c r="X174" s="8">
        <f t="shared" si="3"/>
        <v>329</v>
      </c>
      <c r="Y174" s="8">
        <v>50.0</v>
      </c>
      <c r="Z174" s="17">
        <f>VLOOKUP(F174,RANGOFECHAFINAL,25,FALSE)</f>
        <v>46022</v>
      </c>
      <c r="AA174" s="8" t="s">
        <v>229</v>
      </c>
      <c r="AB174" s="8" t="s">
        <v>537</v>
      </c>
      <c r="AC174" s="8" t="s">
        <v>42</v>
      </c>
      <c r="AD174" s="7"/>
    </row>
    <row r="175">
      <c r="A175" s="7">
        <v>193.0</v>
      </c>
      <c r="B175" s="7" t="s">
        <v>581</v>
      </c>
      <c r="C175" s="7" t="s">
        <v>890</v>
      </c>
      <c r="D175" s="7" t="s">
        <v>32</v>
      </c>
      <c r="E175" s="21" t="s">
        <v>520</v>
      </c>
      <c r="F175" s="8" t="s">
        <v>891</v>
      </c>
      <c r="G175" s="9" t="s">
        <v>892</v>
      </c>
      <c r="H175" s="8" t="s">
        <v>893</v>
      </c>
      <c r="I175" s="8">
        <v>4517491.0</v>
      </c>
      <c r="J175" s="10">
        <v>7.05E7</v>
      </c>
      <c r="K175" s="11">
        <v>-800000.0</v>
      </c>
      <c r="L175" s="10">
        <f t="shared" si="1"/>
        <v>69700000</v>
      </c>
      <c r="M175" s="12">
        <f>IFERROR(__xludf.DUMMYFUNCTION("+N175/L175"),0.4519071018651363)</f>
        <v>0.4519071019</v>
      </c>
      <c r="N175" s="13">
        <v>3.1497925E7</v>
      </c>
      <c r="O175" s="13">
        <f t="shared" si="2"/>
        <v>38202075</v>
      </c>
      <c r="P175" s="8" t="s">
        <v>98</v>
      </c>
      <c r="Q175" s="8">
        <v>17225.0</v>
      </c>
      <c r="R175" s="8">
        <v>17925.0</v>
      </c>
      <c r="S175" s="14">
        <v>45691.0</v>
      </c>
      <c r="T175" s="15" t="s">
        <v>587</v>
      </c>
      <c r="U175" s="14">
        <v>45695.0</v>
      </c>
      <c r="V175" s="8"/>
      <c r="W175" s="8">
        <v>329.0</v>
      </c>
      <c r="X175" s="8">
        <f t="shared" si="3"/>
        <v>329</v>
      </c>
      <c r="Y175" s="8">
        <v>50.4587156</v>
      </c>
      <c r="Z175" s="17">
        <f>VLOOKUP(F175,RANGOFECHAFINAL,25,FALSE)</f>
        <v>46022</v>
      </c>
      <c r="AA175" s="8" t="s">
        <v>105</v>
      </c>
      <c r="AB175" s="8" t="s">
        <v>106</v>
      </c>
      <c r="AC175" s="8" t="s">
        <v>42</v>
      </c>
      <c r="AD175" s="7"/>
    </row>
    <row r="176">
      <c r="A176" s="7">
        <v>194.0</v>
      </c>
      <c r="B176" s="7" t="s">
        <v>581</v>
      </c>
      <c r="C176" s="7" t="s">
        <v>894</v>
      </c>
      <c r="D176" s="7" t="s">
        <v>32</v>
      </c>
      <c r="E176" s="21" t="s">
        <v>520</v>
      </c>
      <c r="F176" s="8" t="s">
        <v>895</v>
      </c>
      <c r="G176" s="9" t="s">
        <v>896</v>
      </c>
      <c r="H176" s="8" t="s">
        <v>897</v>
      </c>
      <c r="I176" s="8">
        <v>1.026271385E9</v>
      </c>
      <c r="J176" s="10">
        <v>8.8367017E7</v>
      </c>
      <c r="K176" s="11">
        <v>-1048867.0</v>
      </c>
      <c r="L176" s="10">
        <f t="shared" si="1"/>
        <v>87318150</v>
      </c>
      <c r="M176" s="12">
        <f>IFERROR(__xludf.DUMMYFUNCTION("+N176/L176"),0.43843843462098087)</f>
        <v>0.4384384346</v>
      </c>
      <c r="N176" s="13">
        <v>3.8283633E7</v>
      </c>
      <c r="O176" s="13">
        <f t="shared" si="2"/>
        <v>49034517</v>
      </c>
      <c r="P176" s="8" t="s">
        <v>351</v>
      </c>
      <c r="Q176" s="8">
        <v>17825.0</v>
      </c>
      <c r="R176" s="8">
        <v>18925.0</v>
      </c>
      <c r="S176" s="14">
        <v>45691.0</v>
      </c>
      <c r="T176" s="15" t="s">
        <v>587</v>
      </c>
      <c r="U176" s="19">
        <v>45693.0</v>
      </c>
      <c r="V176" s="8"/>
      <c r="W176" s="8">
        <v>329.0</v>
      </c>
      <c r="X176" s="8">
        <f t="shared" si="3"/>
        <v>329</v>
      </c>
      <c r="Y176" s="8">
        <v>50.75987842</v>
      </c>
      <c r="Z176" s="17">
        <f>VLOOKUP(F176,RANGOFECHAFINAL,25,FALSE)</f>
        <v>46022</v>
      </c>
      <c r="AA176" s="8" t="s">
        <v>898</v>
      </c>
      <c r="AB176" s="8" t="s">
        <v>182</v>
      </c>
      <c r="AC176" s="8" t="s">
        <v>42</v>
      </c>
      <c r="AD176" s="7"/>
    </row>
    <row r="177">
      <c r="A177" s="7">
        <v>196.0</v>
      </c>
      <c r="B177" s="7" t="s">
        <v>581</v>
      </c>
      <c r="C177" s="7" t="s">
        <v>899</v>
      </c>
      <c r="D177" s="7" t="s">
        <v>32</v>
      </c>
      <c r="E177" s="21" t="s">
        <v>520</v>
      </c>
      <c r="F177" s="8" t="s">
        <v>900</v>
      </c>
      <c r="G177" s="9" t="s">
        <v>901</v>
      </c>
      <c r="H177" s="8" t="s">
        <v>902</v>
      </c>
      <c r="I177" s="8">
        <v>1.018472611E9</v>
      </c>
      <c r="J177" s="10">
        <v>1.159991E8</v>
      </c>
      <c r="K177" s="11">
        <v>-2083620.0</v>
      </c>
      <c r="L177" s="10">
        <f t="shared" si="1"/>
        <v>113915480</v>
      </c>
      <c r="M177" s="12">
        <f>IFERROR(__xludf.DUMMYFUNCTION("+N177/L177"),0.43898230512657277)</f>
        <v>0.4389823051</v>
      </c>
      <c r="N177" s="13">
        <v>5.000688E7</v>
      </c>
      <c r="O177" s="13">
        <f t="shared" si="2"/>
        <v>63908600</v>
      </c>
      <c r="P177" s="8" t="s">
        <v>152</v>
      </c>
      <c r="Q177" s="8">
        <v>16225.0</v>
      </c>
      <c r="R177" s="8">
        <v>21425.0</v>
      </c>
      <c r="S177" s="14">
        <v>45694.0</v>
      </c>
      <c r="T177" s="15" t="s">
        <v>587</v>
      </c>
      <c r="U177" s="14">
        <v>45695.0</v>
      </c>
      <c r="V177" s="8"/>
      <c r="W177" s="8">
        <v>327.0</v>
      </c>
      <c r="X177" s="8">
        <f t="shared" si="3"/>
        <v>327</v>
      </c>
      <c r="Y177" s="8">
        <v>50.4587156</v>
      </c>
      <c r="Z177" s="17">
        <f>VLOOKUP(F177,RANGOFECHAFINAL,25,FALSE)</f>
        <v>46022</v>
      </c>
      <c r="AA177" s="8" t="s">
        <v>903</v>
      </c>
      <c r="AB177" s="8" t="s">
        <v>154</v>
      </c>
      <c r="AC177" s="8" t="s">
        <v>42</v>
      </c>
      <c r="AD177" s="7"/>
    </row>
    <row r="178" hidden="1">
      <c r="A178" s="7">
        <v>197.0</v>
      </c>
      <c r="B178" s="7" t="s">
        <v>581</v>
      </c>
      <c r="C178" s="7" t="s">
        <v>904</v>
      </c>
      <c r="D178" s="7" t="s">
        <v>32</v>
      </c>
      <c r="E178" s="8" t="s">
        <v>781</v>
      </c>
      <c r="F178" s="8" t="s">
        <v>905</v>
      </c>
      <c r="G178" s="9" t="s">
        <v>906</v>
      </c>
      <c r="H178" s="8" t="s">
        <v>907</v>
      </c>
      <c r="I178" s="8">
        <v>1.062425689E9</v>
      </c>
      <c r="J178" s="10">
        <v>2.03742E7</v>
      </c>
      <c r="K178" s="11"/>
      <c r="L178" s="10">
        <f t="shared" si="1"/>
        <v>20374200</v>
      </c>
      <c r="M178" s="12">
        <f>IFERROR(__xludf.DUMMYFUNCTION("+N178/L178"),0.4603174603174603)</f>
        <v>0.4603174603</v>
      </c>
      <c r="N178" s="13">
        <v>9378600.0</v>
      </c>
      <c r="O178" s="13">
        <f t="shared" si="2"/>
        <v>10995600</v>
      </c>
      <c r="P178" s="8" t="s">
        <v>197</v>
      </c>
      <c r="Q178" s="8">
        <v>19225.0</v>
      </c>
      <c r="R178" s="8">
        <v>20025.0</v>
      </c>
      <c r="S178" s="14">
        <v>45693.0</v>
      </c>
      <c r="T178" s="15" t="s">
        <v>587</v>
      </c>
      <c r="U178" s="14">
        <v>45695.0</v>
      </c>
      <c r="V178" s="8"/>
      <c r="W178" s="8">
        <v>317.0</v>
      </c>
      <c r="X178" s="8">
        <f t="shared" si="3"/>
        <v>317</v>
      </c>
      <c r="Y178" s="8">
        <v>52.21518987</v>
      </c>
      <c r="Z178" s="17">
        <f>VLOOKUP(F178,RANGOFECHAFINAL,25,FALSE)</f>
        <v>46011</v>
      </c>
      <c r="AA178" s="8" t="s">
        <v>198</v>
      </c>
      <c r="AB178" s="8" t="s">
        <v>263</v>
      </c>
      <c r="AC178" s="8" t="s">
        <v>42</v>
      </c>
      <c r="AD178" s="7"/>
    </row>
    <row r="179">
      <c r="A179" s="7">
        <v>198.0</v>
      </c>
      <c r="B179" s="7" t="s">
        <v>581</v>
      </c>
      <c r="C179" s="7" t="s">
        <v>908</v>
      </c>
      <c r="D179" s="7" t="s">
        <v>32</v>
      </c>
      <c r="E179" s="21" t="s">
        <v>520</v>
      </c>
      <c r="F179" s="8" t="s">
        <v>909</v>
      </c>
      <c r="G179" s="9" t="s">
        <v>910</v>
      </c>
      <c r="H179" s="8" t="s">
        <v>911</v>
      </c>
      <c r="I179" s="8">
        <v>1.015424748E9</v>
      </c>
      <c r="J179" s="10">
        <v>4.37796E7</v>
      </c>
      <c r="K179" s="11">
        <v>3.52669E7</v>
      </c>
      <c r="L179" s="10">
        <f t="shared" si="1"/>
        <v>79046500</v>
      </c>
      <c r="M179" s="12">
        <f>IFERROR(__xludf.DUMMYFUNCTION("+N179/L179"),0.4461538461538462)</f>
        <v>0.4461538462</v>
      </c>
      <c r="N179" s="13">
        <v>3.52669E7</v>
      </c>
      <c r="O179" s="13">
        <f t="shared" si="2"/>
        <v>43779600</v>
      </c>
      <c r="P179" s="8" t="s">
        <v>53</v>
      </c>
      <c r="Q179" s="8">
        <v>13825.0</v>
      </c>
      <c r="R179" s="8">
        <v>20425.0</v>
      </c>
      <c r="S179" s="14">
        <v>45693.0</v>
      </c>
      <c r="T179" s="15" t="s">
        <v>587</v>
      </c>
      <c r="U179" s="14">
        <v>45702.0</v>
      </c>
      <c r="V179" s="8">
        <v>145.0</v>
      </c>
      <c r="W179" s="8">
        <v>180.0</v>
      </c>
      <c r="X179" s="8">
        <f t="shared" si="3"/>
        <v>325</v>
      </c>
      <c r="Y179" s="8">
        <v>49.375</v>
      </c>
      <c r="Z179" s="17">
        <v>46022.0</v>
      </c>
      <c r="AA179" s="8" t="s">
        <v>912</v>
      </c>
      <c r="AB179" s="8" t="s">
        <v>182</v>
      </c>
      <c r="AC179" s="8" t="s">
        <v>42</v>
      </c>
      <c r="AD179" s="7"/>
    </row>
    <row r="180">
      <c r="A180" s="7">
        <v>199.0</v>
      </c>
      <c r="B180" s="7" t="s">
        <v>581</v>
      </c>
      <c r="C180" s="7" t="s">
        <v>913</v>
      </c>
      <c r="D180" s="7" t="s">
        <v>32</v>
      </c>
      <c r="E180" s="21" t="s">
        <v>520</v>
      </c>
      <c r="F180" s="8" t="s">
        <v>914</v>
      </c>
      <c r="G180" s="9" t="s">
        <v>915</v>
      </c>
      <c r="H180" s="8" t="s">
        <v>916</v>
      </c>
      <c r="I180" s="8">
        <v>1.033769305E9</v>
      </c>
      <c r="J180" s="10">
        <v>5.6E7</v>
      </c>
      <c r="K180" s="11"/>
      <c r="L180" s="10">
        <f t="shared" si="1"/>
        <v>56000000</v>
      </c>
      <c r="M180" s="12">
        <f>IFERROR(__xludf.DUMMYFUNCTION("+N180/L180"),0.6904761964285714)</f>
        <v>0.6904761964</v>
      </c>
      <c r="N180" s="13">
        <v>3.8666667E7</v>
      </c>
      <c r="O180" s="13">
        <f t="shared" si="2"/>
        <v>17333333</v>
      </c>
      <c r="P180" s="8" t="s">
        <v>917</v>
      </c>
      <c r="Q180" s="8">
        <v>21225.0</v>
      </c>
      <c r="R180" s="8">
        <v>19625.0</v>
      </c>
      <c r="S180" s="14">
        <v>45693.0</v>
      </c>
      <c r="T180" s="15" t="s">
        <v>587</v>
      </c>
      <c r="U180" s="14">
        <v>45698.0</v>
      </c>
      <c r="V180" s="8"/>
      <c r="W180" s="8">
        <v>211.0</v>
      </c>
      <c r="X180" s="8">
        <f t="shared" si="3"/>
        <v>211</v>
      </c>
      <c r="Y180" s="8">
        <v>78.26086957</v>
      </c>
      <c r="Z180" s="17">
        <f>VLOOKUP(F180,RANGOFECHAFINAL,25,FALSE)</f>
        <v>45905</v>
      </c>
      <c r="AA180" s="8" t="s">
        <v>211</v>
      </c>
      <c r="AB180" s="8" t="s">
        <v>205</v>
      </c>
      <c r="AC180" s="8" t="s">
        <v>42</v>
      </c>
      <c r="AD180" s="7"/>
    </row>
    <row r="181">
      <c r="A181" s="7">
        <v>200.0</v>
      </c>
      <c r="B181" s="7" t="s">
        <v>581</v>
      </c>
      <c r="C181" s="7" t="s">
        <v>918</v>
      </c>
      <c r="D181" s="7" t="s">
        <v>32</v>
      </c>
      <c r="E181" s="21" t="s">
        <v>520</v>
      </c>
      <c r="F181" s="8" t="s">
        <v>919</v>
      </c>
      <c r="G181" s="9" t="s">
        <v>920</v>
      </c>
      <c r="H181" s="8" t="s">
        <v>921</v>
      </c>
      <c r="I181" s="8">
        <v>1.193406964E9</v>
      </c>
      <c r="J181" s="10">
        <v>4.123574E7</v>
      </c>
      <c r="K181" s="11">
        <v>-252980.0</v>
      </c>
      <c r="L181" s="10">
        <f t="shared" si="1"/>
        <v>40982760</v>
      </c>
      <c r="M181" s="12">
        <f>IFERROR(__xludf.DUMMYFUNCTION("+N181/L181"),0.4444444444444444)</f>
        <v>0.4444444444</v>
      </c>
      <c r="N181" s="13">
        <v>1.821456E7</v>
      </c>
      <c r="O181" s="13">
        <f t="shared" si="2"/>
        <v>22768200</v>
      </c>
      <c r="P181" s="8" t="s">
        <v>203</v>
      </c>
      <c r="Q181" s="8">
        <v>22125.0</v>
      </c>
      <c r="R181" s="8">
        <v>20625.0</v>
      </c>
      <c r="S181" s="14">
        <v>45693.0</v>
      </c>
      <c r="T181" s="15" t="s">
        <v>587</v>
      </c>
      <c r="U181" s="14">
        <v>45698.0</v>
      </c>
      <c r="V181" s="8"/>
      <c r="W181" s="8">
        <v>327.0</v>
      </c>
      <c r="X181" s="8">
        <f t="shared" si="3"/>
        <v>327</v>
      </c>
      <c r="Y181" s="8">
        <v>50.0</v>
      </c>
      <c r="Z181" s="17">
        <f>VLOOKUP(F181,RANGOFECHAFINAL,25,FALSE)</f>
        <v>46022</v>
      </c>
      <c r="AA181" s="8" t="s">
        <v>922</v>
      </c>
      <c r="AB181" s="8" t="s">
        <v>242</v>
      </c>
      <c r="AC181" s="8" t="s">
        <v>42</v>
      </c>
      <c r="AD181" s="7"/>
    </row>
    <row r="182">
      <c r="A182" s="7">
        <v>201.0</v>
      </c>
      <c r="B182" s="7" t="s">
        <v>581</v>
      </c>
      <c r="C182" s="7"/>
      <c r="D182" s="7" t="s">
        <v>32</v>
      </c>
      <c r="E182" s="21" t="s">
        <v>520</v>
      </c>
      <c r="F182" s="8" t="s">
        <v>923</v>
      </c>
      <c r="G182" s="9" t="s">
        <v>924</v>
      </c>
      <c r="H182" s="8" t="s">
        <v>925</v>
      </c>
      <c r="I182" s="8">
        <v>1.098826619E9</v>
      </c>
      <c r="J182" s="10">
        <v>6.44E7</v>
      </c>
      <c r="K182" s="11"/>
      <c r="L182" s="10">
        <f t="shared" si="1"/>
        <v>64400000</v>
      </c>
      <c r="M182" s="12">
        <f>IFERROR(__xludf.DUMMYFUNCTION("+N182/L182"),0.4472049689440994)</f>
        <v>0.4472049689</v>
      </c>
      <c r="N182" s="13">
        <v>2.88E7</v>
      </c>
      <c r="O182" s="13">
        <f t="shared" si="2"/>
        <v>35600000</v>
      </c>
      <c r="P182" s="8" t="s">
        <v>926</v>
      </c>
      <c r="Q182" s="8">
        <v>23125.0</v>
      </c>
      <c r="R182" s="8">
        <v>20825.0</v>
      </c>
      <c r="S182" s="14">
        <v>45694.0</v>
      </c>
      <c r="T182" s="15" t="s">
        <v>587</v>
      </c>
      <c r="U182" s="19">
        <v>45695.0</v>
      </c>
      <c r="V182" s="8"/>
      <c r="W182" s="8">
        <v>324.0</v>
      </c>
      <c r="X182" s="8">
        <f t="shared" si="3"/>
        <v>324</v>
      </c>
      <c r="Y182" s="8">
        <v>50.92592593</v>
      </c>
      <c r="Z182" s="17">
        <f>VLOOKUP(F182,RANGOFECHAFINAL,25,FALSE)</f>
        <v>46019</v>
      </c>
      <c r="AA182" s="8" t="s">
        <v>779</v>
      </c>
      <c r="AB182" s="8" t="s">
        <v>223</v>
      </c>
      <c r="AC182" s="8" t="s">
        <v>42</v>
      </c>
      <c r="AD182" s="7"/>
    </row>
    <row r="183">
      <c r="A183" s="7">
        <v>202.0</v>
      </c>
      <c r="B183" s="7" t="s">
        <v>581</v>
      </c>
      <c r="C183" s="7" t="s">
        <v>927</v>
      </c>
      <c r="D183" s="7" t="s">
        <v>32</v>
      </c>
      <c r="E183" s="21" t="s">
        <v>520</v>
      </c>
      <c r="F183" s="8" t="s">
        <v>928</v>
      </c>
      <c r="G183" s="9" t="s">
        <v>929</v>
      </c>
      <c r="H183" s="8" t="s">
        <v>930</v>
      </c>
      <c r="I183" s="8">
        <v>1.026579774E9</v>
      </c>
      <c r="J183" s="10">
        <v>7.6206667E7</v>
      </c>
      <c r="K183" s="11"/>
      <c r="L183" s="10">
        <f t="shared" si="1"/>
        <v>76206667</v>
      </c>
      <c r="M183" s="12">
        <f>IFERROR(__xludf.DUMMYFUNCTION("+N183/L183"),0.44720496698799334)</f>
        <v>0.447204967</v>
      </c>
      <c r="N183" s="13">
        <v>3.408E7</v>
      </c>
      <c r="O183" s="13">
        <f t="shared" si="2"/>
        <v>42126667</v>
      </c>
      <c r="P183" s="8" t="s">
        <v>926</v>
      </c>
      <c r="Q183" s="8">
        <v>23325.0</v>
      </c>
      <c r="R183" s="8">
        <v>19725.0</v>
      </c>
      <c r="S183" s="14">
        <v>45693.0</v>
      </c>
      <c r="T183" s="15" t="s">
        <v>587</v>
      </c>
      <c r="U183" s="14">
        <v>45700.0</v>
      </c>
      <c r="V183" s="8"/>
      <c r="W183" s="8">
        <v>324.0</v>
      </c>
      <c r="X183" s="8">
        <f t="shared" si="3"/>
        <v>324</v>
      </c>
      <c r="Y183" s="8">
        <v>50.15673981</v>
      </c>
      <c r="Z183" s="17">
        <f>VLOOKUP(F183,RANGOFECHAFINAL,25,FALSE)</f>
        <v>46019</v>
      </c>
      <c r="AA183" s="8" t="s">
        <v>433</v>
      </c>
      <c r="AB183" s="8" t="s">
        <v>223</v>
      </c>
      <c r="AC183" s="8" t="s">
        <v>42</v>
      </c>
      <c r="AD183" s="7"/>
    </row>
    <row r="184" hidden="1">
      <c r="A184" s="7">
        <v>366.0</v>
      </c>
      <c r="B184" s="7" t="s">
        <v>581</v>
      </c>
      <c r="C184" s="7" t="s">
        <v>835</v>
      </c>
      <c r="D184" s="7" t="s">
        <v>32</v>
      </c>
      <c r="E184" s="8" t="s">
        <v>781</v>
      </c>
      <c r="F184" s="8" t="s">
        <v>931</v>
      </c>
      <c r="G184" s="9" t="s">
        <v>932</v>
      </c>
      <c r="H184" s="9" t="s">
        <v>933</v>
      </c>
      <c r="I184" s="29">
        <v>1.010065876E9</v>
      </c>
      <c r="J184" s="30">
        <v>4.4E7</v>
      </c>
      <c r="K184" s="11">
        <v>-666667.0</v>
      </c>
      <c r="L184" s="10">
        <f t="shared" si="1"/>
        <v>43333333</v>
      </c>
      <c r="M184" s="12">
        <f>IFERROR(__xludf.DUMMYFUNCTION("+N184/L184"),0.4461538418934911)</f>
        <v>0.4461538419</v>
      </c>
      <c r="N184" s="10">
        <v>1.9333333E7</v>
      </c>
      <c r="O184" s="13">
        <f t="shared" si="2"/>
        <v>24000000</v>
      </c>
      <c r="P184" s="31" t="s">
        <v>367</v>
      </c>
      <c r="Q184" s="32">
        <v>23225.0</v>
      </c>
      <c r="R184" s="32">
        <v>20325.0</v>
      </c>
      <c r="S184" s="33">
        <v>45693.0</v>
      </c>
      <c r="T184" s="15"/>
      <c r="U184" s="14">
        <v>45694.0</v>
      </c>
      <c r="V184" s="8"/>
      <c r="W184" s="8">
        <v>328.0</v>
      </c>
      <c r="X184" s="8">
        <f t="shared" si="3"/>
        <v>328</v>
      </c>
      <c r="Y184" s="8">
        <v>50.6097561</v>
      </c>
      <c r="Z184" s="17">
        <f>VLOOKUP(F184,RANGOFECHAFINAL,25,FALSE)</f>
        <v>46022</v>
      </c>
      <c r="AA184" s="8" t="s">
        <v>934</v>
      </c>
      <c r="AB184" s="8" t="s">
        <v>223</v>
      </c>
      <c r="AC184" s="8" t="s">
        <v>42</v>
      </c>
      <c r="AD184" s="7"/>
    </row>
    <row r="185">
      <c r="A185" s="7">
        <v>367.0</v>
      </c>
      <c r="B185" s="7" t="s">
        <v>581</v>
      </c>
      <c r="C185" s="7" t="s">
        <v>839</v>
      </c>
      <c r="D185" s="7" t="s">
        <v>32</v>
      </c>
      <c r="E185" s="21" t="s">
        <v>520</v>
      </c>
      <c r="F185" s="8" t="s">
        <v>935</v>
      </c>
      <c r="G185" s="9" t="s">
        <v>936</v>
      </c>
      <c r="H185" s="9" t="s">
        <v>937</v>
      </c>
      <c r="I185" s="29">
        <v>1.030610778E9</v>
      </c>
      <c r="J185" s="30">
        <v>7.90465E7</v>
      </c>
      <c r="K185" s="11">
        <v>-243220.0</v>
      </c>
      <c r="L185" s="10">
        <f t="shared" si="1"/>
        <v>78803280</v>
      </c>
      <c r="M185" s="12">
        <f>IFERROR(__xludf.DUMMYFUNCTION("+N185/L185"),0.4444444444444444)</f>
        <v>0.4444444444</v>
      </c>
      <c r="N185" s="10">
        <v>3.502368E7</v>
      </c>
      <c r="O185" s="13">
        <f t="shared" si="2"/>
        <v>43779600</v>
      </c>
      <c r="P185" s="31" t="s">
        <v>53</v>
      </c>
      <c r="Q185" s="32">
        <v>17925.0</v>
      </c>
      <c r="R185" s="32">
        <v>20925.0</v>
      </c>
      <c r="S185" s="33">
        <v>45694.0</v>
      </c>
      <c r="T185" s="15"/>
      <c r="U185" s="14">
        <v>45695.0</v>
      </c>
      <c r="V185" s="8"/>
      <c r="W185" s="8">
        <v>327.0</v>
      </c>
      <c r="X185" s="8">
        <f t="shared" si="3"/>
        <v>327</v>
      </c>
      <c r="Y185" s="8">
        <v>50.4587156</v>
      </c>
      <c r="Z185" s="17">
        <f>VLOOKUP(F185,RANGOFECHAFINAL,25,FALSE)</f>
        <v>46022</v>
      </c>
      <c r="AA185" s="8" t="s">
        <v>252</v>
      </c>
      <c r="AB185" s="8" t="s">
        <v>182</v>
      </c>
      <c r="AC185" s="8" t="s">
        <v>42</v>
      </c>
      <c r="AD185" s="7"/>
    </row>
    <row r="186">
      <c r="A186" s="7">
        <v>368.0</v>
      </c>
      <c r="B186" s="7" t="s">
        <v>581</v>
      </c>
      <c r="C186" s="7" t="s">
        <v>843</v>
      </c>
      <c r="D186" s="7" t="s">
        <v>32</v>
      </c>
      <c r="E186" s="21" t="s">
        <v>520</v>
      </c>
      <c r="F186" s="8" t="s">
        <v>938</v>
      </c>
      <c r="G186" s="9" t="s">
        <v>939</v>
      </c>
      <c r="H186" s="9" t="s">
        <v>940</v>
      </c>
      <c r="I186" s="29">
        <v>1.088300611E9</v>
      </c>
      <c r="J186" s="30">
        <v>7.90465E7</v>
      </c>
      <c r="K186" s="11"/>
      <c r="L186" s="10">
        <f t="shared" si="1"/>
        <v>79046500</v>
      </c>
      <c r="M186" s="12">
        <f>IFERROR(__xludf.DUMMYFUNCTION("+N186/L186"),0.4461538461538462)</f>
        <v>0.4461538462</v>
      </c>
      <c r="N186" s="10">
        <v>3.52669E7</v>
      </c>
      <c r="O186" s="13">
        <f t="shared" si="2"/>
        <v>43779600</v>
      </c>
      <c r="P186" s="31" t="s">
        <v>351</v>
      </c>
      <c r="Q186" s="32">
        <v>18225.0</v>
      </c>
      <c r="R186" s="32">
        <v>20225.0</v>
      </c>
      <c r="S186" s="33">
        <v>45693.0</v>
      </c>
      <c r="T186" s="15"/>
      <c r="U186" s="14">
        <v>45694.0</v>
      </c>
      <c r="V186" s="8"/>
      <c r="W186" s="8">
        <v>327.0</v>
      </c>
      <c r="X186" s="8">
        <f t="shared" si="3"/>
        <v>327</v>
      </c>
      <c r="Y186" s="8">
        <v>50.76452599</v>
      </c>
      <c r="Z186" s="17">
        <f>VLOOKUP(F186,RANGOFECHAFINAL,25,FALSE)</f>
        <v>46021</v>
      </c>
      <c r="AA186" s="8" t="s">
        <v>941</v>
      </c>
      <c r="AB186" s="8" t="s">
        <v>182</v>
      </c>
      <c r="AC186" s="8" t="s">
        <v>42</v>
      </c>
      <c r="AD186" s="7"/>
    </row>
    <row r="187">
      <c r="A187" s="7">
        <v>369.0</v>
      </c>
      <c r="B187" s="7" t="s">
        <v>581</v>
      </c>
      <c r="C187" s="7" t="s">
        <v>849</v>
      </c>
      <c r="D187" s="7" t="s">
        <v>32</v>
      </c>
      <c r="E187" s="21" t="s">
        <v>520</v>
      </c>
      <c r="F187" s="8" t="s">
        <v>942</v>
      </c>
      <c r="G187" s="9" t="s">
        <v>943</v>
      </c>
      <c r="H187" s="9" t="s">
        <v>944</v>
      </c>
      <c r="I187" s="29">
        <v>1.033736378E9</v>
      </c>
      <c r="J187" s="30">
        <v>8.7482633E7</v>
      </c>
      <c r="K187" s="11">
        <v>-524433.0</v>
      </c>
      <c r="L187" s="10">
        <f t="shared" si="1"/>
        <v>86958200</v>
      </c>
      <c r="M187" s="12">
        <f>IFERROR(__xludf.DUMMYFUNCTION("+N187/L187"),0.4342224195073035)</f>
        <v>0.4342224195</v>
      </c>
      <c r="N187" s="10">
        <v>3.77592E7</v>
      </c>
      <c r="O187" s="13">
        <f t="shared" si="2"/>
        <v>49199000</v>
      </c>
      <c r="P187" s="31" t="s">
        <v>351</v>
      </c>
      <c r="Q187" s="32">
        <v>18325.0</v>
      </c>
      <c r="R187" s="32">
        <v>21625.0</v>
      </c>
      <c r="S187" s="33">
        <v>45694.0</v>
      </c>
      <c r="T187" s="15"/>
      <c r="U187" s="14">
        <v>45695.0</v>
      </c>
      <c r="V187" s="8"/>
      <c r="W187" s="8">
        <v>327.0</v>
      </c>
      <c r="X187" s="8">
        <f t="shared" si="3"/>
        <v>327</v>
      </c>
      <c r="Y187" s="8">
        <v>50.4587156</v>
      </c>
      <c r="Z187" s="17">
        <f>VLOOKUP(F187,RANGOFECHAFINAL,25,FALSE)</f>
        <v>46022</v>
      </c>
      <c r="AA187" s="8" t="s">
        <v>898</v>
      </c>
      <c r="AB187" s="8" t="s">
        <v>182</v>
      </c>
      <c r="AC187" s="8" t="s">
        <v>42</v>
      </c>
      <c r="AD187" s="7"/>
    </row>
    <row r="188">
      <c r="A188" s="7">
        <v>370.0</v>
      </c>
      <c r="B188" s="7" t="s">
        <v>581</v>
      </c>
      <c r="C188" s="7" t="s">
        <v>853</v>
      </c>
      <c r="D188" s="7" t="s">
        <v>32</v>
      </c>
      <c r="E188" s="21" t="s">
        <v>520</v>
      </c>
      <c r="F188" s="8" t="s">
        <v>945</v>
      </c>
      <c r="G188" s="9" t="s">
        <v>946</v>
      </c>
      <c r="H188" s="9" t="s">
        <v>947</v>
      </c>
      <c r="I188" s="29">
        <v>1.022995967E9</v>
      </c>
      <c r="J188" s="30">
        <v>4.9257E7</v>
      </c>
      <c r="K188" s="11">
        <v>-151560.0</v>
      </c>
      <c r="L188" s="10">
        <f t="shared" si="1"/>
        <v>49105440</v>
      </c>
      <c r="M188" s="12">
        <f>IFERROR(__xludf.DUMMYFUNCTION("+N188/L188"),0.4444444444444444)</f>
        <v>0.4444444444</v>
      </c>
      <c r="N188" s="10">
        <v>2.182464E7</v>
      </c>
      <c r="O188" s="13">
        <f t="shared" si="2"/>
        <v>27280800</v>
      </c>
      <c r="P188" s="31" t="s">
        <v>53</v>
      </c>
      <c r="Q188" s="32">
        <v>18825.0</v>
      </c>
      <c r="R188" s="32">
        <v>21525.0</v>
      </c>
      <c r="S188" s="33">
        <v>45694.0</v>
      </c>
      <c r="T188" s="15"/>
      <c r="U188" s="14">
        <v>45695.0</v>
      </c>
      <c r="V188" s="8"/>
      <c r="W188" s="8">
        <v>327.0</v>
      </c>
      <c r="X188" s="8">
        <f t="shared" si="3"/>
        <v>327</v>
      </c>
      <c r="Y188" s="8">
        <v>50.4587156</v>
      </c>
      <c r="Z188" s="17">
        <f>VLOOKUP(F188,RANGOFECHAFINAL,25,FALSE)</f>
        <v>46022</v>
      </c>
      <c r="AA188" s="8" t="s">
        <v>252</v>
      </c>
      <c r="AB188" s="8" t="s">
        <v>182</v>
      </c>
      <c r="AC188" s="8" t="s">
        <v>42</v>
      </c>
      <c r="AD188" s="7"/>
    </row>
    <row r="189">
      <c r="A189" s="7">
        <v>371.0</v>
      </c>
      <c r="B189" s="7" t="s">
        <v>581</v>
      </c>
      <c r="C189" s="7" t="s">
        <v>859</v>
      </c>
      <c r="D189" s="7" t="s">
        <v>32</v>
      </c>
      <c r="E189" s="21" t="s">
        <v>520</v>
      </c>
      <c r="F189" s="8" t="s">
        <v>948</v>
      </c>
      <c r="G189" s="9" t="s">
        <v>949</v>
      </c>
      <c r="H189" s="9" t="s">
        <v>950</v>
      </c>
      <c r="I189" s="29">
        <v>1.032433564E9</v>
      </c>
      <c r="J189" s="30">
        <v>1.29571585E8</v>
      </c>
      <c r="K189" s="11">
        <v>-2790773.0</v>
      </c>
      <c r="L189" s="10">
        <f t="shared" si="1"/>
        <v>126780812</v>
      </c>
      <c r="M189" s="12">
        <f>IFERROR(__xludf.DUMMYFUNCTION("+N189/L189"),0.43396226236506513)</f>
        <v>0.4339622624</v>
      </c>
      <c r="N189" s="10">
        <v>5.5018088E7</v>
      </c>
      <c r="O189" s="13">
        <f t="shared" si="2"/>
        <v>71762724</v>
      </c>
      <c r="P189" s="31" t="s">
        <v>313</v>
      </c>
      <c r="Q189" s="32">
        <v>20525.0</v>
      </c>
      <c r="R189" s="32">
        <v>23725.0</v>
      </c>
      <c r="S189" s="33">
        <v>45700.0</v>
      </c>
      <c r="T189" s="15"/>
      <c r="U189" s="14">
        <v>45701.0</v>
      </c>
      <c r="V189" s="8"/>
      <c r="W189" s="8">
        <v>321.0</v>
      </c>
      <c r="X189" s="8">
        <f t="shared" si="3"/>
        <v>321</v>
      </c>
      <c r="Y189" s="8">
        <v>49.53271028</v>
      </c>
      <c r="Z189" s="17">
        <f>VLOOKUP(F189,RANGOFECHAFINAL,25,FALSE)</f>
        <v>46022</v>
      </c>
      <c r="AA189" s="8" t="s">
        <v>557</v>
      </c>
      <c r="AB189" s="8" t="s">
        <v>165</v>
      </c>
      <c r="AC189" s="8" t="s">
        <v>42</v>
      </c>
      <c r="AD189" s="7"/>
    </row>
    <row r="190">
      <c r="A190" s="7">
        <v>372.0</v>
      </c>
      <c r="B190" s="7" t="s">
        <v>581</v>
      </c>
      <c r="C190" s="7"/>
      <c r="D190" s="7" t="s">
        <v>32</v>
      </c>
      <c r="E190" s="21" t="s">
        <v>520</v>
      </c>
      <c r="F190" s="8" t="s">
        <v>951</v>
      </c>
      <c r="G190" s="9" t="s">
        <v>952</v>
      </c>
      <c r="H190" s="9" t="s">
        <v>953</v>
      </c>
      <c r="I190" s="29">
        <v>8.085303E7</v>
      </c>
      <c r="J190" s="30">
        <v>8.55465E7</v>
      </c>
      <c r="K190" s="11"/>
      <c r="L190" s="10">
        <f t="shared" si="1"/>
        <v>85546500</v>
      </c>
      <c r="M190" s="12">
        <f>IFERROR(__xludf.DUMMYFUNCTION("+N190/L190"),0.4461538461538462)</f>
        <v>0.4461538462</v>
      </c>
      <c r="N190" s="10">
        <v>3.81669E7</v>
      </c>
      <c r="O190" s="13">
        <f t="shared" si="2"/>
        <v>47379600</v>
      </c>
      <c r="P190" s="31" t="s">
        <v>53</v>
      </c>
      <c r="Q190" s="32">
        <v>19025.0</v>
      </c>
      <c r="R190" s="32">
        <v>19825.0</v>
      </c>
      <c r="S190" s="33">
        <v>45693.0</v>
      </c>
      <c r="T190" s="15"/>
      <c r="U190" s="14">
        <v>45694.0</v>
      </c>
      <c r="V190" s="8"/>
      <c r="W190" s="8">
        <v>327.0</v>
      </c>
      <c r="X190" s="8">
        <f t="shared" si="3"/>
        <v>327</v>
      </c>
      <c r="Y190" s="8">
        <v>50.76452599</v>
      </c>
      <c r="Z190" s="17">
        <f>VLOOKUP(F190,RANGOFECHAFINAL,25,FALSE)</f>
        <v>46021</v>
      </c>
      <c r="AA190" s="8" t="s">
        <v>774</v>
      </c>
      <c r="AB190" s="8" t="s">
        <v>182</v>
      </c>
      <c r="AC190" s="8" t="s">
        <v>42</v>
      </c>
      <c r="AD190" s="7"/>
    </row>
    <row r="191" hidden="1">
      <c r="A191" s="7">
        <v>373.0</v>
      </c>
      <c r="B191" s="7" t="s">
        <v>581</v>
      </c>
      <c r="C191" s="7" t="s">
        <v>865</v>
      </c>
      <c r="D191" s="7" t="s">
        <v>32</v>
      </c>
      <c r="E191" s="8" t="s">
        <v>781</v>
      </c>
      <c r="F191" s="8" t="s">
        <v>954</v>
      </c>
      <c r="G191" s="9" t="s">
        <v>955</v>
      </c>
      <c r="H191" s="9" t="s">
        <v>956</v>
      </c>
      <c r="I191" s="29">
        <v>1.019038567E9</v>
      </c>
      <c r="J191" s="30">
        <v>2.6780667E7</v>
      </c>
      <c r="K191" s="34">
        <v>2.6780667E7</v>
      </c>
      <c r="L191" s="10">
        <f t="shared" si="1"/>
        <v>53561334</v>
      </c>
      <c r="M191" s="12">
        <f>IFERROR(__xludf.DUMMYFUNCTION("+N191/L191"),0.5215827335443138)</f>
        <v>0.5215827335</v>
      </c>
      <c r="N191" s="10">
        <v>2.7936667E7</v>
      </c>
      <c r="O191" s="13">
        <f t="shared" si="2"/>
        <v>25624667</v>
      </c>
      <c r="P191" s="31" t="s">
        <v>351</v>
      </c>
      <c r="Q191" s="32">
        <v>19125.0</v>
      </c>
      <c r="R191" s="32">
        <v>20125.0</v>
      </c>
      <c r="S191" s="33">
        <v>45693.0</v>
      </c>
      <c r="T191" s="15"/>
      <c r="U191" s="14">
        <v>45694.0</v>
      </c>
      <c r="V191" s="8"/>
      <c r="W191" s="8">
        <v>138.0</v>
      </c>
      <c r="X191" s="8">
        <f t="shared" si="3"/>
        <v>138</v>
      </c>
      <c r="Y191" s="8">
        <v>100.0</v>
      </c>
      <c r="Z191" s="17">
        <f>VLOOKUP(F191,RANGOFECHAFINAL,25,FALSE)</f>
        <v>45832</v>
      </c>
      <c r="AA191" s="8" t="s">
        <v>352</v>
      </c>
      <c r="AB191" s="8" t="s">
        <v>182</v>
      </c>
      <c r="AC191" s="8" t="s">
        <v>42</v>
      </c>
      <c r="AD191" s="7"/>
    </row>
    <row r="192">
      <c r="A192" s="7">
        <v>374.0</v>
      </c>
      <c r="B192" s="7" t="s">
        <v>581</v>
      </c>
      <c r="C192" s="7" t="s">
        <v>870</v>
      </c>
      <c r="D192" s="7" t="s">
        <v>32</v>
      </c>
      <c r="E192" s="21" t="s">
        <v>520</v>
      </c>
      <c r="F192" s="8" t="s">
        <v>957</v>
      </c>
      <c r="G192" s="9" t="s">
        <v>958</v>
      </c>
      <c r="H192" s="9" t="s">
        <v>959</v>
      </c>
      <c r="I192" s="29">
        <v>1.233693111E9</v>
      </c>
      <c r="J192" s="30">
        <v>4.579575E7</v>
      </c>
      <c r="K192" s="11"/>
      <c r="L192" s="10">
        <f t="shared" si="1"/>
        <v>45795750</v>
      </c>
      <c r="M192" s="12">
        <f>IFERROR(__xludf.DUMMYFUNCTION("+N192/L192"),0.4461538461538462)</f>
        <v>0.4461538462</v>
      </c>
      <c r="N192" s="10">
        <v>2.043195E7</v>
      </c>
      <c r="O192" s="13">
        <f t="shared" si="2"/>
        <v>25363800</v>
      </c>
      <c r="P192" s="31" t="s">
        <v>313</v>
      </c>
      <c r="Q192" s="32">
        <v>20225.0</v>
      </c>
      <c r="R192" s="32">
        <v>19925.0</v>
      </c>
      <c r="S192" s="33">
        <v>45693.0</v>
      </c>
      <c r="T192" s="15"/>
      <c r="U192" s="14">
        <v>45694.0</v>
      </c>
      <c r="V192" s="8"/>
      <c r="W192" s="8">
        <v>327.0</v>
      </c>
      <c r="X192" s="8">
        <f t="shared" si="3"/>
        <v>327</v>
      </c>
      <c r="Y192" s="8">
        <v>50.76452599</v>
      </c>
      <c r="Z192" s="17">
        <v>46021.0</v>
      </c>
      <c r="AA192" s="8" t="s">
        <v>289</v>
      </c>
      <c r="AB192" s="8" t="s">
        <v>165</v>
      </c>
      <c r="AC192" s="8" t="s">
        <v>42</v>
      </c>
      <c r="AD192" s="7"/>
    </row>
    <row r="193">
      <c r="A193" s="7">
        <v>375.0</v>
      </c>
      <c r="B193" s="7" t="s">
        <v>581</v>
      </c>
      <c r="C193" s="7" t="s">
        <v>875</v>
      </c>
      <c r="D193" s="7" t="s">
        <v>32</v>
      </c>
      <c r="E193" s="21" t="s">
        <v>520</v>
      </c>
      <c r="F193" s="8" t="s">
        <v>960</v>
      </c>
      <c r="G193" s="9" t="s">
        <v>961</v>
      </c>
      <c r="H193" s="9" t="s">
        <v>962</v>
      </c>
      <c r="I193" s="29">
        <v>1.010210361E9</v>
      </c>
      <c r="J193" s="30">
        <v>6.6811333E7</v>
      </c>
      <c r="K193" s="11">
        <v>-205573.0</v>
      </c>
      <c r="L193" s="10">
        <f t="shared" si="1"/>
        <v>66605760</v>
      </c>
      <c r="M193" s="12">
        <f>IFERROR(__xludf.DUMMYFUNCTION("+N193/L193"),0.4444444444444444)</f>
        <v>0.4444444444</v>
      </c>
      <c r="N193" s="10">
        <v>2.960256E7</v>
      </c>
      <c r="O193" s="13">
        <f t="shared" si="2"/>
        <v>37003200</v>
      </c>
      <c r="P193" s="31" t="s">
        <v>53</v>
      </c>
      <c r="Q193" s="32">
        <v>18725.0</v>
      </c>
      <c r="R193" s="32">
        <v>21325.0</v>
      </c>
      <c r="S193" s="33">
        <v>45694.0</v>
      </c>
      <c r="T193" s="15"/>
      <c r="U193" s="14">
        <v>45695.0</v>
      </c>
      <c r="V193" s="8"/>
      <c r="W193" s="8">
        <v>327.0</v>
      </c>
      <c r="X193" s="8">
        <f t="shared" si="3"/>
        <v>327</v>
      </c>
      <c r="Y193" s="8">
        <v>50.4587156</v>
      </c>
      <c r="Z193" s="17">
        <f>VLOOKUP(F193,RANGOFECHAFINAL,25,FALSE)</f>
        <v>46022</v>
      </c>
      <c r="AA193" s="8" t="s">
        <v>252</v>
      </c>
      <c r="AB193" s="8" t="s">
        <v>182</v>
      </c>
      <c r="AC193" s="8" t="s">
        <v>42</v>
      </c>
      <c r="AD193" s="7"/>
    </row>
    <row r="194">
      <c r="A194" s="7">
        <v>376.0</v>
      </c>
      <c r="B194" s="7" t="s">
        <v>581</v>
      </c>
      <c r="C194" s="7" t="s">
        <v>879</v>
      </c>
      <c r="D194" s="7" t="s">
        <v>32</v>
      </c>
      <c r="E194" s="21" t="s">
        <v>520</v>
      </c>
      <c r="F194" s="8" t="s">
        <v>963</v>
      </c>
      <c r="G194" s="9" t="s">
        <v>964</v>
      </c>
      <c r="H194" s="9" t="s">
        <v>965</v>
      </c>
      <c r="I194" s="29">
        <v>1.001185909E9</v>
      </c>
      <c r="J194" s="30">
        <v>3.525275E7</v>
      </c>
      <c r="K194" s="11"/>
      <c r="L194" s="10">
        <f t="shared" si="1"/>
        <v>35252750</v>
      </c>
      <c r="M194" s="12">
        <f>IFERROR(__xludf.DUMMYFUNCTION("+N194/L194"),0.4430769230769231)</f>
        <v>0.4430769231</v>
      </c>
      <c r="N194" s="10">
        <v>1.561968E7</v>
      </c>
      <c r="O194" s="13">
        <f t="shared" si="2"/>
        <v>19633070</v>
      </c>
      <c r="P194" s="31" t="s">
        <v>53</v>
      </c>
      <c r="Q194" s="32">
        <v>18625.0</v>
      </c>
      <c r="R194" s="32">
        <v>21825.0</v>
      </c>
      <c r="S194" s="33">
        <v>45694.0</v>
      </c>
      <c r="T194" s="15"/>
      <c r="U194" s="14">
        <v>45695.0</v>
      </c>
      <c r="V194" s="8"/>
      <c r="W194" s="8">
        <v>324.0</v>
      </c>
      <c r="X194" s="8">
        <f t="shared" si="3"/>
        <v>324</v>
      </c>
      <c r="Y194" s="8">
        <v>50.4587156</v>
      </c>
      <c r="Z194" s="23">
        <v>46022.0</v>
      </c>
      <c r="AA194" s="8" t="s">
        <v>966</v>
      </c>
      <c r="AB194" s="8" t="s">
        <v>182</v>
      </c>
      <c r="AC194" s="8" t="s">
        <v>42</v>
      </c>
      <c r="AD194" s="7"/>
    </row>
    <row r="195" hidden="1">
      <c r="A195" s="7">
        <v>377.0</v>
      </c>
      <c r="B195" s="7" t="s">
        <v>581</v>
      </c>
      <c r="C195" s="7" t="s">
        <v>882</v>
      </c>
      <c r="D195" s="7" t="s">
        <v>32</v>
      </c>
      <c r="E195" s="8" t="s">
        <v>781</v>
      </c>
      <c r="F195" s="8" t="s">
        <v>967</v>
      </c>
      <c r="G195" s="9" t="s">
        <v>968</v>
      </c>
      <c r="H195" s="9" t="s">
        <v>969</v>
      </c>
      <c r="I195" s="29">
        <v>1.049640327E9</v>
      </c>
      <c r="J195" s="30">
        <v>6.8748333E7</v>
      </c>
      <c r="K195" s="11">
        <v>-211533.0</v>
      </c>
      <c r="L195" s="10">
        <f t="shared" si="1"/>
        <v>68536800</v>
      </c>
      <c r="M195" s="12">
        <f>IFERROR(__xludf.DUMMYFUNCTION("+N195/L195"),0.4444444444444444)</f>
        <v>0.4444444444</v>
      </c>
      <c r="N195" s="10">
        <v>3.04608E7</v>
      </c>
      <c r="O195" s="13">
        <f t="shared" si="2"/>
        <v>38076000</v>
      </c>
      <c r="P195" s="31" t="s">
        <v>53</v>
      </c>
      <c r="Q195" s="32">
        <v>18825.0</v>
      </c>
      <c r="R195" s="32">
        <v>21725.0</v>
      </c>
      <c r="S195" s="33">
        <v>45694.0</v>
      </c>
      <c r="T195" s="15"/>
      <c r="U195" s="14">
        <v>45695.0</v>
      </c>
      <c r="V195" s="8"/>
      <c r="W195" s="8">
        <v>327.0</v>
      </c>
      <c r="X195" s="8">
        <f t="shared" si="3"/>
        <v>327</v>
      </c>
      <c r="Y195" s="8">
        <v>50.4587156</v>
      </c>
      <c r="Z195" s="17">
        <f>VLOOKUP(F195,RANGOFECHAFINAL,25,FALSE)</f>
        <v>46022</v>
      </c>
      <c r="AA195" s="8" t="s">
        <v>352</v>
      </c>
      <c r="AB195" s="8" t="s">
        <v>182</v>
      </c>
      <c r="AC195" s="8" t="s">
        <v>42</v>
      </c>
      <c r="AD195" s="7"/>
    </row>
    <row r="196" hidden="1">
      <c r="A196" s="7">
        <v>378.0</v>
      </c>
      <c r="B196" s="7" t="s">
        <v>581</v>
      </c>
      <c r="C196" s="7" t="s">
        <v>886</v>
      </c>
      <c r="D196" s="7" t="s">
        <v>32</v>
      </c>
      <c r="E196" s="8" t="s">
        <v>781</v>
      </c>
      <c r="F196" s="8" t="s">
        <v>970</v>
      </c>
      <c r="G196" s="9" t="s">
        <v>971</v>
      </c>
      <c r="H196" s="9" t="s">
        <v>972</v>
      </c>
      <c r="I196" s="29">
        <v>1.010198057E9</v>
      </c>
      <c r="J196" s="30">
        <v>6.8748333E7</v>
      </c>
      <c r="K196" s="11">
        <v>-846133.0</v>
      </c>
      <c r="L196" s="10">
        <f t="shared" si="1"/>
        <v>67902200</v>
      </c>
      <c r="M196" s="12">
        <f>IFERROR(__xludf.DUMMYFUNCTION("+N196/L196"),0.4392523364485981)</f>
        <v>0.4392523364</v>
      </c>
      <c r="N196" s="10">
        <v>2.98262E7</v>
      </c>
      <c r="O196" s="13">
        <f t="shared" si="2"/>
        <v>38076000</v>
      </c>
      <c r="P196" s="31" t="s">
        <v>53</v>
      </c>
      <c r="Q196" s="32">
        <v>18925.0</v>
      </c>
      <c r="R196" s="32">
        <v>18925.0</v>
      </c>
      <c r="S196" s="33">
        <v>45694.0</v>
      </c>
      <c r="T196" s="15"/>
      <c r="U196" s="14">
        <v>45698.0</v>
      </c>
      <c r="V196" s="8"/>
      <c r="W196" s="8">
        <v>324.0</v>
      </c>
      <c r="X196" s="8">
        <f t="shared" si="3"/>
        <v>324</v>
      </c>
      <c r="Y196" s="8">
        <v>50.0</v>
      </c>
      <c r="Z196" s="17">
        <f>VLOOKUP(F196,RANGOFECHAFINAL,25,FALSE)</f>
        <v>46022</v>
      </c>
      <c r="AA196" s="8" t="s">
        <v>973</v>
      </c>
      <c r="AB196" s="8" t="s">
        <v>182</v>
      </c>
      <c r="AC196" s="8" t="s">
        <v>42</v>
      </c>
      <c r="AD196" s="7"/>
    </row>
    <row r="197">
      <c r="A197" s="7">
        <v>379.0</v>
      </c>
      <c r="B197" s="7" t="s">
        <v>581</v>
      </c>
      <c r="C197" s="7" t="s">
        <v>890</v>
      </c>
      <c r="D197" s="7" t="s">
        <v>32</v>
      </c>
      <c r="E197" s="21" t="s">
        <v>520</v>
      </c>
      <c r="F197" s="8" t="s">
        <v>974</v>
      </c>
      <c r="G197" s="9" t="s">
        <v>975</v>
      </c>
      <c r="H197" s="9" t="s">
        <v>976</v>
      </c>
      <c r="I197" s="29">
        <v>1.070918327E9</v>
      </c>
      <c r="J197" s="30">
        <v>7.90465E7</v>
      </c>
      <c r="K197" s="11">
        <v>-243220.0</v>
      </c>
      <c r="L197" s="10">
        <f t="shared" si="1"/>
        <v>78803280</v>
      </c>
      <c r="M197" s="12">
        <f>IFERROR(__xludf.DUMMYFUNCTION("+N197/L197"),0.4444444444444444)</f>
        <v>0.4444444444</v>
      </c>
      <c r="N197" s="10">
        <v>3.502368E7</v>
      </c>
      <c r="O197" s="13">
        <f t="shared" si="2"/>
        <v>43779600</v>
      </c>
      <c r="P197" s="31" t="s">
        <v>351</v>
      </c>
      <c r="Q197" s="32">
        <v>18425.0</v>
      </c>
      <c r="R197" s="32">
        <v>21125.0</v>
      </c>
      <c r="S197" s="33">
        <v>45694.0</v>
      </c>
      <c r="T197" s="15"/>
      <c r="U197" s="14">
        <v>45695.0</v>
      </c>
      <c r="V197" s="8"/>
      <c r="W197" s="8">
        <v>327.0</v>
      </c>
      <c r="X197" s="8">
        <f t="shared" si="3"/>
        <v>327</v>
      </c>
      <c r="Y197" s="8">
        <v>50.4587156</v>
      </c>
      <c r="Z197" s="17">
        <f>VLOOKUP(F197,RANGOFECHAFINAL,25,FALSE)</f>
        <v>46022</v>
      </c>
      <c r="AA197" s="8" t="s">
        <v>352</v>
      </c>
      <c r="AB197" s="8" t="s">
        <v>182</v>
      </c>
      <c r="AC197" s="8" t="s">
        <v>42</v>
      </c>
      <c r="AD197" s="7"/>
    </row>
    <row r="198">
      <c r="A198" s="7">
        <v>381.0</v>
      </c>
      <c r="B198" s="7" t="s">
        <v>581</v>
      </c>
      <c r="C198" s="7"/>
      <c r="D198" s="7" t="s">
        <v>32</v>
      </c>
      <c r="E198" s="8" t="s">
        <v>583</v>
      </c>
      <c r="F198" s="8" t="s">
        <v>977</v>
      </c>
      <c r="G198" s="9" t="s">
        <v>978</v>
      </c>
      <c r="H198" s="9" t="s">
        <v>979</v>
      </c>
      <c r="I198" s="29">
        <v>7.9272744E7</v>
      </c>
      <c r="J198" s="30">
        <v>7.90465E7</v>
      </c>
      <c r="K198" s="11"/>
      <c r="L198" s="10">
        <f t="shared" si="1"/>
        <v>79046500</v>
      </c>
      <c r="M198" s="12">
        <f>IFERROR(__xludf.DUMMYFUNCTION("+N198/L198"),0.4461538461538462)</f>
        <v>0.4461538462</v>
      </c>
      <c r="N198" s="10">
        <v>3.52669E7</v>
      </c>
      <c r="O198" s="13">
        <f t="shared" si="2"/>
        <v>43779600</v>
      </c>
      <c r="P198" s="31" t="s">
        <v>351</v>
      </c>
      <c r="Q198" s="32">
        <v>18525.0</v>
      </c>
      <c r="R198" s="32">
        <v>20525.0</v>
      </c>
      <c r="S198" s="33">
        <v>45693.0</v>
      </c>
      <c r="T198" s="15"/>
      <c r="U198" s="14">
        <v>45694.0</v>
      </c>
      <c r="V198" s="8"/>
      <c r="W198" s="8">
        <v>327.0</v>
      </c>
      <c r="X198" s="8">
        <f t="shared" si="3"/>
        <v>327</v>
      </c>
      <c r="Y198" s="8">
        <v>50.76452599</v>
      </c>
      <c r="Z198" s="17">
        <f>VLOOKUP(F198,RANGOFECHAFINAL,25,FALSE)</f>
        <v>46021</v>
      </c>
      <c r="AA198" s="8" t="s">
        <v>973</v>
      </c>
      <c r="AB198" s="8" t="s">
        <v>182</v>
      </c>
      <c r="AC198" s="8" t="s">
        <v>42</v>
      </c>
      <c r="AD198" s="7"/>
    </row>
    <row r="199">
      <c r="A199" s="7">
        <v>382.0</v>
      </c>
      <c r="B199" s="7" t="s">
        <v>581</v>
      </c>
      <c r="C199" s="7" t="s">
        <v>899</v>
      </c>
      <c r="D199" s="7" t="s">
        <v>32</v>
      </c>
      <c r="E199" s="21" t="s">
        <v>520</v>
      </c>
      <c r="F199" s="8" t="s">
        <v>980</v>
      </c>
      <c r="G199" s="9" t="s">
        <v>981</v>
      </c>
      <c r="H199" s="9" t="s">
        <v>982</v>
      </c>
      <c r="I199" s="29">
        <v>1.049623315E9</v>
      </c>
      <c r="J199" s="30">
        <v>6.2E7</v>
      </c>
      <c r="K199" s="11"/>
      <c r="L199" s="10">
        <f t="shared" si="1"/>
        <v>62000000</v>
      </c>
      <c r="M199" s="12">
        <f>IFERROR(__xludf.DUMMYFUNCTION("+N199/L199"),0.48)</f>
        <v>0.48</v>
      </c>
      <c r="N199" s="10">
        <v>2.976E7</v>
      </c>
      <c r="O199" s="13">
        <f t="shared" si="2"/>
        <v>32240000</v>
      </c>
      <c r="P199" s="31" t="s">
        <v>77</v>
      </c>
      <c r="Q199" s="32">
        <v>23625.0</v>
      </c>
      <c r="R199" s="32">
        <v>21025.0</v>
      </c>
      <c r="S199" s="33">
        <v>45694.0</v>
      </c>
      <c r="T199" s="15"/>
      <c r="U199" s="14">
        <v>45695.0</v>
      </c>
      <c r="V199" s="8"/>
      <c r="W199" s="8">
        <v>302.0</v>
      </c>
      <c r="X199" s="8">
        <f t="shared" si="3"/>
        <v>302</v>
      </c>
      <c r="Y199" s="8">
        <v>54.63576159</v>
      </c>
      <c r="Z199" s="17">
        <f>VLOOKUP(F199,RANGOFECHAFINAL,25,FALSE)</f>
        <v>45997</v>
      </c>
      <c r="AA199" s="8" t="s">
        <v>524</v>
      </c>
      <c r="AB199" s="8" t="s">
        <v>41</v>
      </c>
      <c r="AC199" s="8" t="s">
        <v>42</v>
      </c>
      <c r="AD199" s="7"/>
    </row>
    <row r="200">
      <c r="A200" s="7">
        <v>383.0</v>
      </c>
      <c r="B200" s="7" t="s">
        <v>581</v>
      </c>
      <c r="C200" s="7" t="s">
        <v>904</v>
      </c>
      <c r="D200" s="7" t="s">
        <v>32</v>
      </c>
      <c r="E200" s="21" t="s">
        <v>520</v>
      </c>
      <c r="F200" s="8" t="s">
        <v>983</v>
      </c>
      <c r="G200" s="9" t="s">
        <v>984</v>
      </c>
      <c r="H200" s="9" t="s">
        <v>985</v>
      </c>
      <c r="I200" s="29">
        <v>1.0207309E9</v>
      </c>
      <c r="J200" s="30">
        <v>8.12791E7</v>
      </c>
      <c r="K200" s="11">
        <v>4.412294E7</v>
      </c>
      <c r="L200" s="10">
        <f t="shared" si="1"/>
        <v>125402040</v>
      </c>
      <c r="M200" s="12">
        <f>IFERROR(__xludf.DUMMYFUNCTION("+N200/L200"),0.4444444444444444)</f>
        <v>0.4444444444</v>
      </c>
      <c r="N200" s="10">
        <v>5.573424E7</v>
      </c>
      <c r="O200" s="13">
        <f t="shared" si="2"/>
        <v>69667800</v>
      </c>
      <c r="P200" s="31" t="s">
        <v>111</v>
      </c>
      <c r="Q200" s="32">
        <v>23525.0</v>
      </c>
      <c r="R200" s="32">
        <v>20725.0</v>
      </c>
      <c r="S200" s="33">
        <v>45694.0</v>
      </c>
      <c r="T200" s="15"/>
      <c r="U200" s="14">
        <v>45695.0</v>
      </c>
      <c r="V200" s="8">
        <v>114.0</v>
      </c>
      <c r="W200" s="8">
        <v>211.0</v>
      </c>
      <c r="X200" s="8">
        <f t="shared" si="3"/>
        <v>325</v>
      </c>
      <c r="Y200" s="8">
        <v>50.4587156</v>
      </c>
      <c r="Z200" s="17">
        <f>VLOOKUP(F200,RANGOFECHAFINAL,25,FALSE)</f>
        <v>46022</v>
      </c>
      <c r="AA200" s="8" t="s">
        <v>375</v>
      </c>
      <c r="AB200" s="8" t="s">
        <v>106</v>
      </c>
      <c r="AC200" s="8" t="s">
        <v>42</v>
      </c>
      <c r="AD200" s="7"/>
    </row>
    <row r="201" hidden="1">
      <c r="A201" s="7">
        <v>384.0</v>
      </c>
      <c r="B201" s="7" t="s">
        <v>581</v>
      </c>
      <c r="C201" s="7" t="s">
        <v>908</v>
      </c>
      <c r="D201" s="7" t="s">
        <v>32</v>
      </c>
      <c r="E201" s="8" t="s">
        <v>781</v>
      </c>
      <c r="F201" s="8" t="s">
        <v>986</v>
      </c>
      <c r="G201" s="9" t="s">
        <v>987</v>
      </c>
      <c r="H201" s="9" t="s">
        <v>988</v>
      </c>
      <c r="I201" s="29">
        <v>1.032450346E9</v>
      </c>
      <c r="J201" s="30">
        <v>5.46455E7</v>
      </c>
      <c r="K201" s="11">
        <v>-1345120.0</v>
      </c>
      <c r="L201" s="10">
        <f t="shared" si="1"/>
        <v>53300380</v>
      </c>
      <c r="M201" s="12">
        <f>IFERROR(__xludf.DUMMYFUNCTION("+N201/L201"),0.43217665615141954)</f>
        <v>0.4321766562</v>
      </c>
      <c r="N201" s="10">
        <v>2.303518E7</v>
      </c>
      <c r="O201" s="13">
        <f t="shared" si="2"/>
        <v>30265200</v>
      </c>
      <c r="P201" s="31" t="s">
        <v>53</v>
      </c>
      <c r="Q201" s="32">
        <v>23825.0</v>
      </c>
      <c r="R201" s="32">
        <v>22425.0</v>
      </c>
      <c r="S201" s="33">
        <v>45698.0</v>
      </c>
      <c r="T201" s="15"/>
      <c r="U201" s="14">
        <v>45702.0</v>
      </c>
      <c r="V201" s="8"/>
      <c r="W201" s="8">
        <v>320.0</v>
      </c>
      <c r="X201" s="8">
        <f t="shared" si="3"/>
        <v>320</v>
      </c>
      <c r="Y201" s="8">
        <v>49.375</v>
      </c>
      <c r="Z201" s="17">
        <f>VLOOKUP(F201,RANGOFECHAFINAL,25,FALSE)</f>
        <v>46022</v>
      </c>
      <c r="AA201" s="8" t="s">
        <v>375</v>
      </c>
      <c r="AB201" s="8" t="s">
        <v>106</v>
      </c>
      <c r="AC201" s="8" t="s">
        <v>42</v>
      </c>
      <c r="AD201" s="7"/>
    </row>
    <row r="202" hidden="1">
      <c r="A202" s="7">
        <v>385.0</v>
      </c>
      <c r="B202" s="7" t="s">
        <v>581</v>
      </c>
      <c r="C202" s="7" t="s">
        <v>913</v>
      </c>
      <c r="D202" s="7" t="s">
        <v>32</v>
      </c>
      <c r="E202" s="8" t="s">
        <v>781</v>
      </c>
      <c r="F202" s="8" t="s">
        <v>989</v>
      </c>
      <c r="G202" s="9" t="s">
        <v>990</v>
      </c>
      <c r="H202" s="9" t="s">
        <v>991</v>
      </c>
      <c r="I202" s="29">
        <v>1.077149572E9</v>
      </c>
      <c r="J202" s="30">
        <v>4.2E7</v>
      </c>
      <c r="K202" s="11"/>
      <c r="L202" s="10">
        <f t="shared" si="1"/>
        <v>42000000</v>
      </c>
      <c r="M202" s="12">
        <f>IFERROR(__xludf.DUMMYFUNCTION("+N202/L202"),0.44761904761904764)</f>
        <v>0.4476190476</v>
      </c>
      <c r="N202" s="10">
        <v>1.88E7</v>
      </c>
      <c r="O202" s="13">
        <f t="shared" si="2"/>
        <v>23200000</v>
      </c>
      <c r="P202" s="31" t="s">
        <v>367</v>
      </c>
      <c r="Q202" s="32">
        <v>22425.0</v>
      </c>
      <c r="R202" s="32">
        <v>22025.0</v>
      </c>
      <c r="S202" s="33">
        <v>45695.0</v>
      </c>
      <c r="T202" s="15"/>
      <c r="U202" s="14">
        <v>45698.0</v>
      </c>
      <c r="V202" s="8"/>
      <c r="W202" s="8">
        <v>317.0</v>
      </c>
      <c r="X202" s="8">
        <f t="shared" si="3"/>
        <v>317</v>
      </c>
      <c r="Y202" s="8">
        <v>51.10410095</v>
      </c>
      <c r="Z202" s="17">
        <f>VLOOKUP(F202,RANGOFECHAFINAL,25,FALSE)</f>
        <v>46015</v>
      </c>
      <c r="AA202" s="8" t="s">
        <v>992</v>
      </c>
      <c r="AB202" s="8" t="s">
        <v>223</v>
      </c>
      <c r="AC202" s="8" t="s">
        <v>42</v>
      </c>
      <c r="AD202" s="7"/>
    </row>
    <row r="203">
      <c r="A203" s="7">
        <v>386.0</v>
      </c>
      <c r="B203" s="7" t="s">
        <v>581</v>
      </c>
      <c r="C203" s="7" t="s">
        <v>918</v>
      </c>
      <c r="D203" s="7" t="s">
        <v>32</v>
      </c>
      <c r="E203" s="21" t="s">
        <v>520</v>
      </c>
      <c r="F203" s="8" t="s">
        <v>993</v>
      </c>
      <c r="G203" s="9" t="s">
        <v>994</v>
      </c>
      <c r="H203" s="9" t="s">
        <v>995</v>
      </c>
      <c r="I203" s="29">
        <v>1.1433786E9</v>
      </c>
      <c r="J203" s="30">
        <v>8.5866667E7</v>
      </c>
      <c r="K203" s="11">
        <v>-266667.0</v>
      </c>
      <c r="L203" s="10">
        <f t="shared" si="1"/>
        <v>85600000</v>
      </c>
      <c r="M203" s="12">
        <f>IFERROR(__xludf.DUMMYFUNCTION("+N203/L203"),0.4392523364485981)</f>
        <v>0.4392523364</v>
      </c>
      <c r="N203" s="10">
        <v>3.76E7</v>
      </c>
      <c r="O203" s="13">
        <f t="shared" si="2"/>
        <v>48000000</v>
      </c>
      <c r="P203" s="31" t="s">
        <v>67</v>
      </c>
      <c r="Q203" s="32">
        <v>22725.0</v>
      </c>
      <c r="R203" s="32">
        <v>22525.0</v>
      </c>
      <c r="S203" s="33">
        <v>45695.0</v>
      </c>
      <c r="T203" s="15"/>
      <c r="U203" s="14">
        <v>45698.0</v>
      </c>
      <c r="V203" s="8"/>
      <c r="W203" s="8">
        <v>324.0</v>
      </c>
      <c r="X203" s="8">
        <f t="shared" si="3"/>
        <v>324</v>
      </c>
      <c r="Y203" s="8">
        <v>50.0</v>
      </c>
      <c r="Z203" s="17">
        <f>VLOOKUP(F203,RANGOFECHAFINAL,25,FALSE)</f>
        <v>46022</v>
      </c>
      <c r="AA203" s="8" t="s">
        <v>433</v>
      </c>
      <c r="AB203" s="8" t="s">
        <v>223</v>
      </c>
      <c r="AC203" s="8" t="s">
        <v>42</v>
      </c>
      <c r="AD203" s="7"/>
    </row>
    <row r="204">
      <c r="A204" s="7">
        <v>388.0</v>
      </c>
      <c r="B204" s="7" t="s">
        <v>581</v>
      </c>
      <c r="C204" s="7" t="s">
        <v>927</v>
      </c>
      <c r="D204" s="7" t="s">
        <v>32</v>
      </c>
      <c r="E204" s="21" t="s">
        <v>520</v>
      </c>
      <c r="F204" s="8" t="s">
        <v>996</v>
      </c>
      <c r="G204" s="9" t="s">
        <v>997</v>
      </c>
      <c r="H204" s="9" t="s">
        <v>998</v>
      </c>
      <c r="I204" s="29">
        <v>1.015440358E9</v>
      </c>
      <c r="J204" s="30">
        <v>1.04843375E8</v>
      </c>
      <c r="K204" s="11"/>
      <c r="L204" s="10">
        <f t="shared" si="1"/>
        <v>104843375</v>
      </c>
      <c r="M204" s="12">
        <f>IFERROR(__xludf.DUMMYFUNCTION("+N204/L204"),0.42153846153846153)</f>
        <v>0.4215384615</v>
      </c>
      <c r="N204" s="10">
        <v>4.4195515E7</v>
      </c>
      <c r="O204" s="13">
        <f t="shared" si="2"/>
        <v>60647860</v>
      </c>
      <c r="P204" s="31" t="s">
        <v>38</v>
      </c>
      <c r="Q204" s="32">
        <v>22225.0</v>
      </c>
      <c r="R204" s="32">
        <v>23025.0</v>
      </c>
      <c r="S204" s="33">
        <v>45699.0</v>
      </c>
      <c r="T204" s="15"/>
      <c r="U204" s="14">
        <v>45700.0</v>
      </c>
      <c r="V204" s="8"/>
      <c r="W204" s="8">
        <v>322.0</v>
      </c>
      <c r="X204" s="8">
        <f t="shared" si="3"/>
        <v>322</v>
      </c>
      <c r="Y204" s="8">
        <v>49.68944099</v>
      </c>
      <c r="Z204" s="17">
        <f>VLOOKUP(F204,RANGOFECHAFINAL,25,FALSE)</f>
        <v>46022</v>
      </c>
      <c r="AA204" s="8" t="s">
        <v>175</v>
      </c>
      <c r="AB204" s="8" t="s">
        <v>176</v>
      </c>
      <c r="AC204" s="8" t="s">
        <v>42</v>
      </c>
      <c r="AD204" s="7"/>
    </row>
    <row r="205">
      <c r="A205" s="7">
        <v>389.0</v>
      </c>
      <c r="B205" s="7" t="s">
        <v>581</v>
      </c>
      <c r="C205" s="7"/>
      <c r="D205" s="7" t="s">
        <v>32</v>
      </c>
      <c r="E205" s="21" t="s">
        <v>520</v>
      </c>
      <c r="F205" s="8" t="s">
        <v>999</v>
      </c>
      <c r="G205" s="9" t="s">
        <v>1000</v>
      </c>
      <c r="H205" s="9" t="s">
        <v>1001</v>
      </c>
      <c r="I205" s="29">
        <v>5.2498078E7</v>
      </c>
      <c r="J205" s="30">
        <v>4.95E7</v>
      </c>
      <c r="K205" s="11"/>
      <c r="L205" s="10">
        <f t="shared" si="1"/>
        <v>49500000</v>
      </c>
      <c r="M205" s="12">
        <f>IFERROR(__xludf.DUMMYFUNCTION("+N205/L205"),0.5222222222222223)</f>
        <v>0.5222222222</v>
      </c>
      <c r="N205" s="10">
        <v>2.585E7</v>
      </c>
      <c r="O205" s="13">
        <f t="shared" si="2"/>
        <v>23650000</v>
      </c>
      <c r="P205" s="31" t="s">
        <v>91</v>
      </c>
      <c r="Q205" s="32">
        <v>22025.0</v>
      </c>
      <c r="R205" s="32">
        <v>22025.0</v>
      </c>
      <c r="S205" s="33">
        <v>45693.0</v>
      </c>
      <c r="T205" s="15"/>
      <c r="U205" s="14">
        <v>45698.0</v>
      </c>
      <c r="V205" s="8"/>
      <c r="W205" s="8">
        <v>272.0</v>
      </c>
      <c r="X205" s="8">
        <f t="shared" si="3"/>
        <v>272</v>
      </c>
      <c r="Y205" s="8">
        <v>59.55882353</v>
      </c>
      <c r="Z205" s="17">
        <f>VLOOKUP(F205,RANGOFECHAFINAL,25,FALSE)</f>
        <v>45970</v>
      </c>
      <c r="AA205" s="8" t="s">
        <v>428</v>
      </c>
      <c r="AB205" s="8" t="s">
        <v>537</v>
      </c>
      <c r="AC205" s="8" t="s">
        <v>42</v>
      </c>
      <c r="AD205" s="7"/>
    </row>
    <row r="206">
      <c r="A206" s="7">
        <v>390.0</v>
      </c>
      <c r="B206" s="7" t="s">
        <v>581</v>
      </c>
      <c r="C206" s="7" t="s">
        <v>1002</v>
      </c>
      <c r="D206" s="7" t="s">
        <v>32</v>
      </c>
      <c r="E206" s="21" t="s">
        <v>520</v>
      </c>
      <c r="F206" s="8" t="s">
        <v>1003</v>
      </c>
      <c r="G206" s="9" t="s">
        <v>1000</v>
      </c>
      <c r="H206" s="9" t="s">
        <v>1004</v>
      </c>
      <c r="I206" s="29">
        <v>1.152204081E9</v>
      </c>
      <c r="J206" s="30">
        <v>8.498154E7</v>
      </c>
      <c r="K206" s="11"/>
      <c r="L206" s="10">
        <f t="shared" si="1"/>
        <v>84981540</v>
      </c>
      <c r="M206" s="12">
        <f>IFERROR(__xludf.DUMMYFUNCTION("+N206/L206"),0.4392523364485981)</f>
        <v>0.4392523364</v>
      </c>
      <c r="N206" s="10">
        <v>3.732834E7</v>
      </c>
      <c r="O206" s="13">
        <f t="shared" si="2"/>
        <v>47653200</v>
      </c>
      <c r="P206" s="31" t="s">
        <v>313</v>
      </c>
      <c r="Q206" s="32">
        <v>20325.0</v>
      </c>
      <c r="R206" s="32">
        <v>22325.0</v>
      </c>
      <c r="S206" s="33">
        <v>45693.0</v>
      </c>
      <c r="T206" s="15"/>
      <c r="U206" s="14">
        <v>45698.0</v>
      </c>
      <c r="V206" s="8"/>
      <c r="W206" s="8">
        <v>324.0</v>
      </c>
      <c r="X206" s="8">
        <f t="shared" si="3"/>
        <v>324</v>
      </c>
      <c r="Y206" s="8">
        <v>50.0</v>
      </c>
      <c r="Z206" s="17">
        <f>VLOOKUP(F206,RANGOFECHAFINAL,25,FALSE)</f>
        <v>46022</v>
      </c>
      <c r="AA206" s="8" t="s">
        <v>874</v>
      </c>
      <c r="AB206" s="8" t="s">
        <v>165</v>
      </c>
      <c r="AC206" s="8" t="s">
        <v>42</v>
      </c>
      <c r="AD206" s="7"/>
    </row>
    <row r="207">
      <c r="A207" s="7">
        <v>391.0</v>
      </c>
      <c r="B207" s="7" t="s">
        <v>581</v>
      </c>
      <c r="C207" s="7" t="s">
        <v>1005</v>
      </c>
      <c r="D207" s="7" t="s">
        <v>32</v>
      </c>
      <c r="E207" s="21" t="s">
        <v>520</v>
      </c>
      <c r="F207" s="8" t="s">
        <v>1006</v>
      </c>
      <c r="G207" s="9" t="s">
        <v>1007</v>
      </c>
      <c r="H207" s="9" t="s">
        <v>1008</v>
      </c>
      <c r="I207" s="29">
        <v>1.032445678E9</v>
      </c>
      <c r="J207" s="30">
        <v>6.537825E7</v>
      </c>
      <c r="K207" s="11"/>
      <c r="L207" s="10">
        <f t="shared" si="1"/>
        <v>65378250</v>
      </c>
      <c r="M207" s="12">
        <f>IFERROR(__xludf.DUMMYFUNCTION("+N207/L207"),0.4380952380952381)</f>
        <v>0.4380952381</v>
      </c>
      <c r="N207" s="10">
        <v>2.86419E7</v>
      </c>
      <c r="O207" s="13">
        <f t="shared" si="2"/>
        <v>36736350</v>
      </c>
      <c r="P207" s="31" t="s">
        <v>91</v>
      </c>
      <c r="Q207" s="32">
        <v>22625.0</v>
      </c>
      <c r="R207" s="32">
        <v>23125.0</v>
      </c>
      <c r="S207" s="33">
        <v>45693.0</v>
      </c>
      <c r="T207" s="15"/>
      <c r="U207" s="14">
        <v>45701.0</v>
      </c>
      <c r="V207" s="8"/>
      <c r="W207" s="8">
        <v>317.0</v>
      </c>
      <c r="X207" s="8">
        <f t="shared" si="3"/>
        <v>317</v>
      </c>
      <c r="Y207" s="8">
        <v>50.15772871</v>
      </c>
      <c r="Z207" s="17">
        <f>VLOOKUP(F207,RANGOFECHAFINAL,25,FALSE)</f>
        <v>46018</v>
      </c>
      <c r="AA207" s="8" t="s">
        <v>561</v>
      </c>
      <c r="AB207" s="8" t="s">
        <v>165</v>
      </c>
      <c r="AC207" s="8" t="s">
        <v>42</v>
      </c>
      <c r="AD207" s="7"/>
    </row>
    <row r="208">
      <c r="A208" s="7">
        <v>392.0</v>
      </c>
      <c r="B208" s="7" t="s">
        <v>581</v>
      </c>
      <c r="C208" s="7" t="s">
        <v>1009</v>
      </c>
      <c r="D208" s="7" t="s">
        <v>32</v>
      </c>
      <c r="E208" s="21" t="s">
        <v>520</v>
      </c>
      <c r="F208" s="8" t="s">
        <v>1010</v>
      </c>
      <c r="G208" s="9" t="s">
        <v>1011</v>
      </c>
      <c r="H208" s="9" t="s">
        <v>1012</v>
      </c>
      <c r="I208" s="29">
        <v>1.01023574E9</v>
      </c>
      <c r="J208" s="30">
        <v>3.575E7</v>
      </c>
      <c r="K208" s="11">
        <v>-770000.0</v>
      </c>
      <c r="L208" s="10">
        <f t="shared" si="1"/>
        <v>34980000</v>
      </c>
      <c r="M208" s="12">
        <f>IFERROR(__xludf.DUMMYFUNCTION("+N208/L208"),0.4339622641509434)</f>
        <v>0.4339622642</v>
      </c>
      <c r="N208" s="10">
        <v>1.518E7</v>
      </c>
      <c r="O208" s="13">
        <f t="shared" si="2"/>
        <v>19800000</v>
      </c>
      <c r="P208" s="31" t="s">
        <v>53</v>
      </c>
      <c r="Q208" s="32">
        <v>23925.0</v>
      </c>
      <c r="R208" s="32">
        <v>22725.0</v>
      </c>
      <c r="S208" s="33">
        <v>45693.0</v>
      </c>
      <c r="T208" s="15"/>
      <c r="U208" s="14">
        <v>45701.0</v>
      </c>
      <c r="V208" s="8"/>
      <c r="W208" s="8">
        <v>321.0</v>
      </c>
      <c r="X208" s="8">
        <f t="shared" si="3"/>
        <v>321</v>
      </c>
      <c r="Y208" s="8">
        <v>49.53271028</v>
      </c>
      <c r="Z208" s="17">
        <f>VLOOKUP(F208,RANGOFECHAFINAL,25,FALSE)</f>
        <v>46022</v>
      </c>
      <c r="AA208" s="8" t="s">
        <v>500</v>
      </c>
      <c r="AB208" s="8" t="s">
        <v>258</v>
      </c>
      <c r="AC208" s="8" t="s">
        <v>42</v>
      </c>
      <c r="AD208" s="7"/>
    </row>
    <row r="209">
      <c r="A209" s="7">
        <v>393.0</v>
      </c>
      <c r="B209" s="7" t="s">
        <v>581</v>
      </c>
      <c r="C209" s="7" t="s">
        <v>1013</v>
      </c>
      <c r="D209" s="7" t="s">
        <v>32</v>
      </c>
      <c r="E209" s="21" t="s">
        <v>520</v>
      </c>
      <c r="F209" s="8" t="s">
        <v>1014</v>
      </c>
      <c r="G209" s="9" t="s">
        <v>1015</v>
      </c>
      <c r="H209" s="9" t="s">
        <v>1016</v>
      </c>
      <c r="I209" s="29">
        <v>1.03242089E9</v>
      </c>
      <c r="J209" s="30">
        <v>9.2555E7</v>
      </c>
      <c r="K209" s="11">
        <v>-576667.0</v>
      </c>
      <c r="L209" s="10">
        <f t="shared" si="1"/>
        <v>91978333</v>
      </c>
      <c r="M209" s="12">
        <f>IFERROR(__xludf.DUMMYFUNCTION("+N209/L209"),0.43573667507107355)</f>
        <v>0.4357366751</v>
      </c>
      <c r="N209" s="10">
        <v>4.0078333E7</v>
      </c>
      <c r="O209" s="13">
        <f t="shared" si="2"/>
        <v>51900000</v>
      </c>
      <c r="P209" s="31" t="s">
        <v>91</v>
      </c>
      <c r="Q209" s="32">
        <v>21325.0</v>
      </c>
      <c r="R209" s="32">
        <v>22625.0</v>
      </c>
      <c r="S209" s="33">
        <v>45693.0</v>
      </c>
      <c r="T209" s="15"/>
      <c r="U209" s="14">
        <v>45700.0</v>
      </c>
      <c r="V209" s="8"/>
      <c r="W209" s="8">
        <v>322.0</v>
      </c>
      <c r="X209" s="8">
        <f t="shared" si="3"/>
        <v>322</v>
      </c>
      <c r="Y209" s="8">
        <v>49.68944099</v>
      </c>
      <c r="Z209" s="17">
        <v>46022.0</v>
      </c>
      <c r="AA209" s="8" t="s">
        <v>170</v>
      </c>
      <c r="AB209" s="8" t="s">
        <v>165</v>
      </c>
      <c r="AC209" s="8" t="s">
        <v>42</v>
      </c>
      <c r="AD209" s="7"/>
    </row>
    <row r="210">
      <c r="A210" s="7"/>
      <c r="B210" s="7" t="s">
        <v>581</v>
      </c>
      <c r="C210" s="7" t="s">
        <v>1017</v>
      </c>
      <c r="D210" s="7" t="s">
        <v>32</v>
      </c>
      <c r="E210" s="21" t="s">
        <v>520</v>
      </c>
      <c r="F210" s="8" t="s">
        <v>1018</v>
      </c>
      <c r="G210" s="9" t="s">
        <v>1019</v>
      </c>
      <c r="H210" s="8" t="s">
        <v>1020</v>
      </c>
      <c r="I210" s="8">
        <v>1.018481914E9</v>
      </c>
      <c r="J210" s="10">
        <v>1.723995E7</v>
      </c>
      <c r="K210" s="11">
        <v>-4597320.0</v>
      </c>
      <c r="L210" s="10">
        <f t="shared" si="1"/>
        <v>12642630</v>
      </c>
      <c r="M210" s="12">
        <f>IFERROR(__xludf.DUMMYFUNCTION("+N210/L210"),1.0)</f>
        <v>1</v>
      </c>
      <c r="N210" s="13">
        <v>1.264263E7</v>
      </c>
      <c r="O210" s="13">
        <f t="shared" si="2"/>
        <v>0</v>
      </c>
      <c r="P210" s="8" t="s">
        <v>367</v>
      </c>
      <c r="Q210" s="8">
        <v>23225.0</v>
      </c>
      <c r="R210" s="8">
        <v>20325.0</v>
      </c>
      <c r="S210" s="14">
        <v>45693.0</v>
      </c>
      <c r="T210" s="15" t="s">
        <v>587</v>
      </c>
      <c r="U210" s="14">
        <v>45698.0</v>
      </c>
      <c r="V210" s="8"/>
      <c r="W210" s="8">
        <v>328.0</v>
      </c>
      <c r="X210" s="8">
        <f t="shared" si="3"/>
        <v>328</v>
      </c>
      <c r="Y210" s="8">
        <v>100.0</v>
      </c>
      <c r="Z210" s="18">
        <v>45787.0</v>
      </c>
      <c r="AA210" s="8" t="s">
        <v>934</v>
      </c>
      <c r="AB210" s="8" t="s">
        <v>223</v>
      </c>
      <c r="AC210" s="8" t="s">
        <v>72</v>
      </c>
      <c r="AD210" s="7"/>
    </row>
    <row r="211">
      <c r="A211" s="7"/>
      <c r="B211" s="7" t="s">
        <v>581</v>
      </c>
      <c r="C211" s="7" t="s">
        <v>1021</v>
      </c>
      <c r="D211" s="7" t="s">
        <v>32</v>
      </c>
      <c r="E211" s="21" t="s">
        <v>520</v>
      </c>
      <c r="F211" s="8" t="s">
        <v>1022</v>
      </c>
      <c r="G211" s="9" t="s">
        <v>1023</v>
      </c>
      <c r="H211" s="8" t="s">
        <v>1024</v>
      </c>
      <c r="I211" s="8">
        <v>5.2151456E7</v>
      </c>
      <c r="J211" s="10">
        <v>9.67785E7</v>
      </c>
      <c r="K211" s="11"/>
      <c r="L211" s="10">
        <f t="shared" si="1"/>
        <v>96778500</v>
      </c>
      <c r="M211" s="12">
        <f>IFERROR(__xludf.DUMMYFUNCTION("+N211/L211"),0.4633333333333333)</f>
        <v>0.4633333333</v>
      </c>
      <c r="N211" s="13">
        <v>4.4840705E7</v>
      </c>
      <c r="O211" s="13">
        <f t="shared" si="2"/>
        <v>51937795</v>
      </c>
      <c r="P211" s="8" t="s">
        <v>53</v>
      </c>
      <c r="Q211" s="8">
        <v>17925.0</v>
      </c>
      <c r="R211" s="8">
        <v>20925.0</v>
      </c>
      <c r="S211" s="14">
        <v>45694.0</v>
      </c>
      <c r="T211" s="15" t="s">
        <v>587</v>
      </c>
      <c r="U211" s="14">
        <v>45698.0</v>
      </c>
      <c r="V211" s="8"/>
      <c r="W211" s="8">
        <v>327.0</v>
      </c>
      <c r="X211" s="8">
        <f t="shared" si="3"/>
        <v>327</v>
      </c>
      <c r="Y211" s="8">
        <v>50.0</v>
      </c>
      <c r="Z211" s="17">
        <f>VLOOKUP(F211,RANGOFECHAFINAL,25,FALSE)</f>
        <v>46022</v>
      </c>
      <c r="AA211" s="8" t="s">
        <v>252</v>
      </c>
      <c r="AB211" s="8" t="s">
        <v>182</v>
      </c>
      <c r="AC211" s="8" t="s">
        <v>42</v>
      </c>
      <c r="AD211" s="7"/>
    </row>
    <row r="212">
      <c r="A212" s="7"/>
      <c r="B212" s="7" t="s">
        <v>581</v>
      </c>
      <c r="C212" s="7" t="s">
        <v>1025</v>
      </c>
      <c r="D212" s="7" t="s">
        <v>32</v>
      </c>
      <c r="E212" s="21" t="s">
        <v>520</v>
      </c>
      <c r="F212" s="8" t="s">
        <v>1026</v>
      </c>
      <c r="G212" s="9" t="s">
        <v>1027</v>
      </c>
      <c r="H212" s="8" t="s">
        <v>1028</v>
      </c>
      <c r="I212" s="8">
        <v>5.2515178E7</v>
      </c>
      <c r="J212" s="10">
        <v>7.99E7</v>
      </c>
      <c r="K212" s="11">
        <v>-460000.0</v>
      </c>
      <c r="L212" s="10">
        <f t="shared" si="1"/>
        <v>79440000</v>
      </c>
      <c r="M212" s="12">
        <f>IFERROR(__xludf.DUMMYFUNCTION("+N212/L212"),0.40244209466263847)</f>
        <v>0.4024420947</v>
      </c>
      <c r="N212" s="13">
        <v>3.197E7</v>
      </c>
      <c r="O212" s="13">
        <f t="shared" si="2"/>
        <v>47470000</v>
      </c>
      <c r="P212" s="8" t="s">
        <v>351</v>
      </c>
      <c r="Q212" s="8">
        <v>18225.0</v>
      </c>
      <c r="R212" s="8">
        <v>20225.0</v>
      </c>
      <c r="S212" s="14">
        <v>45693.0</v>
      </c>
      <c r="T212" s="15" t="s">
        <v>587</v>
      </c>
      <c r="U212" s="14">
        <v>45701.0</v>
      </c>
      <c r="V212" s="8"/>
      <c r="W212" s="8">
        <v>327.0</v>
      </c>
      <c r="X212" s="8">
        <f t="shared" si="3"/>
        <v>327</v>
      </c>
      <c r="Y212" s="8">
        <v>52.82392027</v>
      </c>
      <c r="Z212" s="17">
        <f>VLOOKUP(F212,RANGOFECHAFINAL,25,FALSE)</f>
        <v>46002</v>
      </c>
      <c r="AA212" s="8" t="s">
        <v>941</v>
      </c>
      <c r="AB212" s="8" t="s">
        <v>182</v>
      </c>
      <c r="AC212" s="8" t="s">
        <v>42</v>
      </c>
      <c r="AD212" s="7"/>
    </row>
    <row r="213">
      <c r="A213" s="7"/>
      <c r="B213" s="7" t="s">
        <v>581</v>
      </c>
      <c r="C213" s="7" t="s">
        <v>1029</v>
      </c>
      <c r="D213" s="7" t="s">
        <v>32</v>
      </c>
      <c r="E213" s="8" t="s">
        <v>1030</v>
      </c>
      <c r="F213" s="8" t="s">
        <v>1031</v>
      </c>
      <c r="G213" s="9" t="s">
        <v>1032</v>
      </c>
      <c r="H213" s="8" t="s">
        <v>1033</v>
      </c>
      <c r="I213" s="24">
        <v>8.30042244E8</v>
      </c>
      <c r="J213" s="10">
        <v>2.5259892E7</v>
      </c>
      <c r="K213" s="11"/>
      <c r="L213" s="10">
        <f t="shared" si="1"/>
        <v>25259892</v>
      </c>
      <c r="M213" s="12">
        <f>IFERROR(__xludf.DUMMYFUNCTION("+N213/L213"),0.19999998416461956)</f>
        <v>0.1999999842</v>
      </c>
      <c r="N213" s="13">
        <v>5051978.0</v>
      </c>
      <c r="O213" s="13">
        <f t="shared" si="2"/>
        <v>20207914</v>
      </c>
      <c r="P213" s="8" t="s">
        <v>351</v>
      </c>
      <c r="Q213" s="8">
        <v>18325.0</v>
      </c>
      <c r="R213" s="8">
        <v>21625.0</v>
      </c>
      <c r="S213" s="14">
        <v>45694.0</v>
      </c>
      <c r="T213" s="19">
        <v>45719.0</v>
      </c>
      <c r="U213" s="14">
        <v>45701.0</v>
      </c>
      <c r="V213" s="8"/>
      <c r="W213" s="8">
        <v>327.0</v>
      </c>
      <c r="X213" s="8">
        <f t="shared" si="3"/>
        <v>327</v>
      </c>
      <c r="Y213" s="8">
        <v>60.45627376</v>
      </c>
      <c r="Z213" s="17">
        <f>VLOOKUP(F213,RANGOFECHAFINAL,25,FALSE)</f>
        <v>45964</v>
      </c>
      <c r="AA213" s="8" t="s">
        <v>898</v>
      </c>
      <c r="AB213" s="8" t="s">
        <v>182</v>
      </c>
      <c r="AC213" s="8" t="s">
        <v>42</v>
      </c>
      <c r="AD213" s="7"/>
    </row>
    <row r="214" hidden="1">
      <c r="A214" s="7"/>
      <c r="B214" s="7" t="s">
        <v>581</v>
      </c>
      <c r="C214" s="7" t="s">
        <v>1034</v>
      </c>
      <c r="D214" s="7" t="s">
        <v>32</v>
      </c>
      <c r="E214" s="8" t="s">
        <v>781</v>
      </c>
      <c r="F214" s="8" t="s">
        <v>1035</v>
      </c>
      <c r="G214" s="9" t="s">
        <v>1036</v>
      </c>
      <c r="H214" s="8" t="s">
        <v>1037</v>
      </c>
      <c r="I214" s="8">
        <v>1.013597889E9</v>
      </c>
      <c r="J214" s="10">
        <v>4.725E7</v>
      </c>
      <c r="K214" s="11"/>
      <c r="L214" s="10">
        <f t="shared" si="1"/>
        <v>47250000</v>
      </c>
      <c r="M214" s="12">
        <f>IFERROR(__xludf.DUMMYFUNCTION("+N214/L214"),0.4380952380952381)</f>
        <v>0.4380952381</v>
      </c>
      <c r="N214" s="13">
        <v>2.07E7</v>
      </c>
      <c r="O214" s="13">
        <f t="shared" si="2"/>
        <v>26550000</v>
      </c>
      <c r="P214" s="8" t="s">
        <v>53</v>
      </c>
      <c r="Q214" s="8">
        <v>18825.0</v>
      </c>
      <c r="R214" s="8">
        <v>21525.0</v>
      </c>
      <c r="S214" s="14">
        <v>45694.0</v>
      </c>
      <c r="T214" s="15" t="s">
        <v>587</v>
      </c>
      <c r="U214" s="14">
        <v>45700.0</v>
      </c>
      <c r="V214" s="8"/>
      <c r="W214" s="8">
        <v>327.0</v>
      </c>
      <c r="X214" s="8">
        <f t="shared" si="3"/>
        <v>327</v>
      </c>
      <c r="Y214" s="8">
        <v>50.31446541</v>
      </c>
      <c r="Z214" s="17">
        <f>VLOOKUP(F214,RANGOFECHAFINAL,25,FALSE)</f>
        <v>46018</v>
      </c>
      <c r="AA214" s="8" t="s">
        <v>252</v>
      </c>
      <c r="AB214" s="8" t="s">
        <v>182</v>
      </c>
      <c r="AC214" s="8" t="s">
        <v>42</v>
      </c>
      <c r="AD214" s="7"/>
    </row>
    <row r="215">
      <c r="A215" s="7"/>
      <c r="B215" s="7" t="s">
        <v>581</v>
      </c>
      <c r="C215" s="7" t="s">
        <v>1038</v>
      </c>
      <c r="D215" s="7" t="s">
        <v>32</v>
      </c>
      <c r="E215" s="21" t="s">
        <v>520</v>
      </c>
      <c r="F215" s="8" t="s">
        <v>1039</v>
      </c>
      <c r="G215" s="9" t="s">
        <v>841</v>
      </c>
      <c r="H215" s="8" t="s">
        <v>1040</v>
      </c>
      <c r="I215" s="8">
        <v>1.007387735E9</v>
      </c>
      <c r="J215" s="10">
        <v>3.50448E7</v>
      </c>
      <c r="K215" s="11">
        <v>-219030.0</v>
      </c>
      <c r="L215" s="10">
        <f t="shared" si="1"/>
        <v>34825770</v>
      </c>
      <c r="M215" s="12">
        <f>IFERROR(__xludf.DUMMYFUNCTION("+N215/L215"),0.4339622641509434)</f>
        <v>0.4339622642</v>
      </c>
      <c r="N215" s="13">
        <v>1.511307E7</v>
      </c>
      <c r="O215" s="13">
        <f t="shared" si="2"/>
        <v>19712700</v>
      </c>
      <c r="P215" s="8" t="s">
        <v>313</v>
      </c>
      <c r="Q215" s="8">
        <v>20525.0</v>
      </c>
      <c r="R215" s="8">
        <v>23725.0</v>
      </c>
      <c r="S215" s="14">
        <v>45700.0</v>
      </c>
      <c r="T215" s="15" t="s">
        <v>587</v>
      </c>
      <c r="U215" s="14">
        <v>45699.0</v>
      </c>
      <c r="V215" s="8"/>
      <c r="W215" s="8">
        <v>321.0</v>
      </c>
      <c r="X215" s="8">
        <f t="shared" si="3"/>
        <v>321</v>
      </c>
      <c r="Y215" s="8">
        <v>49.84520124</v>
      </c>
      <c r="Z215" s="17">
        <f>VLOOKUP(F215,RANGOFECHAFINAL,25,FALSE)</f>
        <v>46022</v>
      </c>
      <c r="AA215" s="8" t="s">
        <v>557</v>
      </c>
      <c r="AB215" s="8" t="s">
        <v>165</v>
      </c>
      <c r="AC215" s="8" t="s">
        <v>42</v>
      </c>
      <c r="AD215" s="7"/>
    </row>
    <row r="216">
      <c r="A216" s="7"/>
      <c r="B216" s="7" t="s">
        <v>581</v>
      </c>
      <c r="C216" s="7" t="s">
        <v>1041</v>
      </c>
      <c r="D216" s="7" t="s">
        <v>32</v>
      </c>
      <c r="E216" s="21" t="s">
        <v>520</v>
      </c>
      <c r="F216" s="8" t="s">
        <v>1042</v>
      </c>
      <c r="G216" s="9" t="s">
        <v>1043</v>
      </c>
      <c r="H216" s="8" t="s">
        <v>1044</v>
      </c>
      <c r="I216" s="8">
        <v>5.2802056E7</v>
      </c>
      <c r="J216" s="10">
        <v>8.56E7</v>
      </c>
      <c r="K216" s="11"/>
      <c r="L216" s="10">
        <f t="shared" si="1"/>
        <v>85600000</v>
      </c>
      <c r="M216" s="12">
        <f>IFERROR(__xludf.DUMMYFUNCTION("+N216/L216"),0.40934521028037385)</f>
        <v>0.4093452103</v>
      </c>
      <c r="N216" s="13">
        <v>3.503995E7</v>
      </c>
      <c r="O216" s="13">
        <f t="shared" si="2"/>
        <v>50560050</v>
      </c>
      <c r="P216" s="8" t="s">
        <v>77</v>
      </c>
      <c r="Q216" s="8">
        <v>22825.0</v>
      </c>
      <c r="R216" s="8">
        <v>23925.0</v>
      </c>
      <c r="S216" s="14">
        <v>45700.0</v>
      </c>
      <c r="T216" s="15" t="s">
        <v>587</v>
      </c>
      <c r="U216" s="14">
        <v>45700.0</v>
      </c>
      <c r="V216" s="8"/>
      <c r="W216" s="8">
        <v>321.0</v>
      </c>
      <c r="X216" s="8">
        <f t="shared" si="3"/>
        <v>321</v>
      </c>
      <c r="Y216" s="8">
        <v>49.68944099</v>
      </c>
      <c r="Z216" s="17">
        <f>VLOOKUP(F216,RANGOFECHAFINAL,25,FALSE)</f>
        <v>46022</v>
      </c>
      <c r="AA216" s="8" t="s">
        <v>433</v>
      </c>
      <c r="AB216" s="8" t="s">
        <v>106</v>
      </c>
      <c r="AC216" s="8" t="s">
        <v>42</v>
      </c>
      <c r="AD216" s="7"/>
    </row>
    <row r="217">
      <c r="A217" s="7"/>
      <c r="B217" s="7" t="s">
        <v>581</v>
      </c>
      <c r="C217" s="7" t="s">
        <v>1045</v>
      </c>
      <c r="D217" s="7" t="s">
        <v>32</v>
      </c>
      <c r="E217" s="21" t="s">
        <v>520</v>
      </c>
      <c r="F217" s="8" t="s">
        <v>1046</v>
      </c>
      <c r="G217" s="9" t="s">
        <v>1047</v>
      </c>
      <c r="H217" s="8" t="s">
        <v>1048</v>
      </c>
      <c r="I217" s="8">
        <v>1.070969778E9</v>
      </c>
      <c r="J217" s="10">
        <v>6.8466667E7</v>
      </c>
      <c r="K217" s="11"/>
      <c r="L217" s="10">
        <f t="shared" si="1"/>
        <v>68466667</v>
      </c>
      <c r="M217" s="12">
        <f>IFERROR(__xludf.DUMMYFUNCTION("+N217/L217"),0.4103555238054746)</f>
        <v>0.4103555238</v>
      </c>
      <c r="N217" s="13">
        <v>2.8095675E7</v>
      </c>
      <c r="O217" s="13">
        <f t="shared" si="2"/>
        <v>40370992</v>
      </c>
      <c r="P217" s="8" t="s">
        <v>53</v>
      </c>
      <c r="Q217" s="8">
        <v>19025.0</v>
      </c>
      <c r="R217" s="8">
        <v>19825.0</v>
      </c>
      <c r="S217" s="14">
        <v>45693.0</v>
      </c>
      <c r="T217" s="15" t="s">
        <v>587</v>
      </c>
      <c r="U217" s="14">
        <v>45700.0</v>
      </c>
      <c r="V217" s="8"/>
      <c r="W217" s="8">
        <v>327.0</v>
      </c>
      <c r="X217" s="8">
        <f t="shared" si="3"/>
        <v>327</v>
      </c>
      <c r="Y217" s="8">
        <v>50.31446541</v>
      </c>
      <c r="Z217" s="17">
        <f>VLOOKUP(F217,RANGOFECHAFINAL,25,FALSE)</f>
        <v>46018</v>
      </c>
      <c r="AA217" s="8" t="s">
        <v>774</v>
      </c>
      <c r="AB217" s="8" t="s">
        <v>182</v>
      </c>
      <c r="AC217" s="8" t="s">
        <v>42</v>
      </c>
      <c r="AD217" s="7"/>
    </row>
    <row r="218">
      <c r="A218" s="7"/>
      <c r="B218" s="7" t="s">
        <v>581</v>
      </c>
      <c r="C218" s="7" t="s">
        <v>1049</v>
      </c>
      <c r="D218" s="7" t="s">
        <v>32</v>
      </c>
      <c r="E218" s="21" t="s">
        <v>520</v>
      </c>
      <c r="F218" s="8" t="s">
        <v>1050</v>
      </c>
      <c r="G218" s="9" t="s">
        <v>1051</v>
      </c>
      <c r="H218" s="8" t="s">
        <v>1052</v>
      </c>
      <c r="I218" s="8">
        <v>1.033711205E9</v>
      </c>
      <c r="J218" s="10">
        <v>4.8E7</v>
      </c>
      <c r="K218" s="11">
        <v>-3.84E7</v>
      </c>
      <c r="L218" s="10">
        <f t="shared" si="1"/>
        <v>9600000</v>
      </c>
      <c r="M218" s="12">
        <f>IFERROR(__xludf.DUMMYFUNCTION("+N218/L218"),1.0)</f>
        <v>1</v>
      </c>
      <c r="N218" s="13">
        <v>9600000.0</v>
      </c>
      <c r="O218" s="13">
        <f t="shared" si="2"/>
        <v>0</v>
      </c>
      <c r="P218" s="8" t="s">
        <v>351</v>
      </c>
      <c r="Q218" s="8">
        <v>19125.0</v>
      </c>
      <c r="R218" s="8">
        <v>20125.0</v>
      </c>
      <c r="S218" s="14">
        <v>45693.0</v>
      </c>
      <c r="T218" s="19"/>
      <c r="U218" s="14">
        <v>45720.0</v>
      </c>
      <c r="V218" s="8"/>
      <c r="W218" s="8">
        <v>138.0</v>
      </c>
      <c r="X218" s="8">
        <f t="shared" si="3"/>
        <v>138</v>
      </c>
      <c r="Y218" s="8">
        <v>100.0</v>
      </c>
      <c r="Z218" s="18">
        <v>45807.0</v>
      </c>
      <c r="AA218" s="8" t="s">
        <v>352</v>
      </c>
      <c r="AB218" s="8" t="s">
        <v>182</v>
      </c>
      <c r="AC218" s="8" t="s">
        <v>72</v>
      </c>
      <c r="AD218" s="7"/>
    </row>
    <row r="219">
      <c r="A219" s="7"/>
      <c r="B219" s="7" t="s">
        <v>581</v>
      </c>
      <c r="C219" s="7" t="s">
        <v>1053</v>
      </c>
      <c r="D219" s="7" t="s">
        <v>32</v>
      </c>
      <c r="E219" s="21" t="s">
        <v>520</v>
      </c>
      <c r="F219" s="8" t="s">
        <v>1054</v>
      </c>
      <c r="G219" s="9" t="s">
        <v>1055</v>
      </c>
      <c r="H219" s="8" t="s">
        <v>1056</v>
      </c>
      <c r="I219" s="8">
        <v>1.010233207E9</v>
      </c>
      <c r="J219" s="10">
        <v>5.83E7</v>
      </c>
      <c r="K219" s="11">
        <v>-183333.0</v>
      </c>
      <c r="L219" s="10">
        <f t="shared" si="1"/>
        <v>58116667</v>
      </c>
      <c r="M219" s="12">
        <f>IFERROR(__xludf.DUMMYFUNCTION("+N219/L219"),0.43217665940822103)</f>
        <v>0.4321766594</v>
      </c>
      <c r="N219" s="13">
        <v>2.5116667E7</v>
      </c>
      <c r="O219" s="13">
        <f t="shared" si="2"/>
        <v>33000000</v>
      </c>
      <c r="P219" s="8" t="s">
        <v>313</v>
      </c>
      <c r="Q219" s="8">
        <v>20225.0</v>
      </c>
      <c r="R219" s="8">
        <v>19925.0</v>
      </c>
      <c r="S219" s="14">
        <v>45693.0</v>
      </c>
      <c r="T219" s="15" t="s">
        <v>587</v>
      </c>
      <c r="U219" s="14">
        <v>45701.0</v>
      </c>
      <c r="V219" s="8"/>
      <c r="W219" s="8">
        <v>327.0</v>
      </c>
      <c r="X219" s="8">
        <f t="shared" si="3"/>
        <v>327</v>
      </c>
      <c r="Y219" s="8">
        <v>49.6875</v>
      </c>
      <c r="Z219" s="17">
        <f>VLOOKUP(F219,RANGOFECHAFINAL,25,FALSE)</f>
        <v>46021</v>
      </c>
      <c r="AA219" s="8" t="s">
        <v>289</v>
      </c>
      <c r="AB219" s="8" t="s">
        <v>165</v>
      </c>
      <c r="AC219" s="8" t="s">
        <v>42</v>
      </c>
      <c r="AD219" s="7"/>
    </row>
    <row r="220">
      <c r="A220" s="7"/>
      <c r="B220" s="7" t="s">
        <v>581</v>
      </c>
      <c r="C220" s="7" t="s">
        <v>1057</v>
      </c>
      <c r="D220" s="7" t="s">
        <v>32</v>
      </c>
      <c r="E220" s="21" t="s">
        <v>520</v>
      </c>
      <c r="F220" s="8" t="s">
        <v>1058</v>
      </c>
      <c r="G220" s="9" t="s">
        <v>1059</v>
      </c>
      <c r="H220" s="8" t="s">
        <v>1060</v>
      </c>
      <c r="I220" s="8">
        <v>1.128431532E9</v>
      </c>
      <c r="J220" s="10">
        <v>8.09E7</v>
      </c>
      <c r="K220" s="11">
        <v>-1000000.0</v>
      </c>
      <c r="L220" s="10">
        <f t="shared" si="1"/>
        <v>79900000</v>
      </c>
      <c r="M220" s="12">
        <f>IFERROR(__xludf.DUMMYFUNCTION("+N220/L220"),0.43667269086357946)</f>
        <v>0.4366726909</v>
      </c>
      <c r="N220" s="13">
        <v>3.4890148E7</v>
      </c>
      <c r="O220" s="13">
        <f t="shared" si="2"/>
        <v>45009852</v>
      </c>
      <c r="P220" s="35" t="s">
        <v>53</v>
      </c>
      <c r="Q220" s="36">
        <v>18725.0</v>
      </c>
      <c r="R220" s="36">
        <v>21325.0</v>
      </c>
      <c r="S220" s="37">
        <v>45694.0</v>
      </c>
      <c r="T220" s="36" t="s">
        <v>587</v>
      </c>
      <c r="U220" s="38">
        <v>45701.0</v>
      </c>
      <c r="V220" s="8"/>
      <c r="W220" s="35">
        <v>327.0</v>
      </c>
      <c r="X220" s="8">
        <f t="shared" si="3"/>
        <v>327</v>
      </c>
      <c r="Y220" s="8">
        <v>49.53271028</v>
      </c>
      <c r="Z220" s="17">
        <f>VLOOKUP(F220,RANGOFECHAFINAL,25,FALSE)</f>
        <v>46022</v>
      </c>
      <c r="AA220" s="8" t="s">
        <v>252</v>
      </c>
      <c r="AB220" s="8" t="s">
        <v>182</v>
      </c>
      <c r="AC220" s="8" t="s">
        <v>42</v>
      </c>
      <c r="AD220" s="7"/>
    </row>
    <row r="221">
      <c r="A221" s="7"/>
      <c r="B221" s="8" t="s">
        <v>581</v>
      </c>
      <c r="C221" s="7" t="s">
        <v>1061</v>
      </c>
      <c r="D221" s="7" t="s">
        <v>32</v>
      </c>
      <c r="E221" s="21" t="s">
        <v>520</v>
      </c>
      <c r="F221" s="8" t="s">
        <v>1062</v>
      </c>
      <c r="G221" s="39" t="s">
        <v>1063</v>
      </c>
      <c r="H221" s="8" t="s">
        <v>1064</v>
      </c>
      <c r="I221" s="8">
        <v>1.032484145E9</v>
      </c>
      <c r="J221" s="10">
        <v>6.825E7</v>
      </c>
      <c r="K221" s="11"/>
      <c r="L221" s="10">
        <f t="shared" si="1"/>
        <v>68250000</v>
      </c>
      <c r="M221" s="12">
        <f>IFERROR(__xludf.DUMMYFUNCTION("+N221/L221"),0.43492063003663006)</f>
        <v>0.43492063</v>
      </c>
      <c r="N221" s="13">
        <v>2.9683333E7</v>
      </c>
      <c r="O221" s="13">
        <f t="shared" si="2"/>
        <v>38566667</v>
      </c>
      <c r="P221" s="35" t="s">
        <v>53</v>
      </c>
      <c r="Q221" s="36">
        <v>18625.0</v>
      </c>
      <c r="R221" s="36">
        <v>21825.0</v>
      </c>
      <c r="S221" s="37">
        <v>45694.0</v>
      </c>
      <c r="T221" s="36" t="s">
        <v>587</v>
      </c>
      <c r="U221" s="38">
        <v>45701.0</v>
      </c>
      <c r="V221" s="8"/>
      <c r="W221" s="35">
        <v>327.0</v>
      </c>
      <c r="X221" s="8">
        <f t="shared" si="3"/>
        <v>327</v>
      </c>
      <c r="Y221" s="8">
        <v>50.0</v>
      </c>
      <c r="Z221" s="17">
        <f>VLOOKUP(F221,RANGOFECHAFINAL,25,FALSE)</f>
        <v>46019</v>
      </c>
      <c r="AA221" s="8" t="s">
        <v>966</v>
      </c>
      <c r="AB221" s="8" t="s">
        <v>182</v>
      </c>
      <c r="AC221" s="8" t="s">
        <v>42</v>
      </c>
      <c r="AD221" s="7"/>
    </row>
    <row r="222">
      <c r="A222" s="7"/>
      <c r="B222" s="7" t="s">
        <v>581</v>
      </c>
      <c r="C222" s="7" t="s">
        <v>1065</v>
      </c>
      <c r="D222" s="7" t="s">
        <v>32</v>
      </c>
      <c r="E222" s="21" t="s">
        <v>520</v>
      </c>
      <c r="F222" s="8" t="s">
        <v>1066</v>
      </c>
      <c r="G222" s="9" t="s">
        <v>1015</v>
      </c>
      <c r="H222" s="8" t="s">
        <v>1067</v>
      </c>
      <c r="I222" s="8">
        <v>1.113638043E9</v>
      </c>
      <c r="J222" s="10">
        <v>9.169E7</v>
      </c>
      <c r="K222" s="11">
        <v>-288333.0</v>
      </c>
      <c r="L222" s="10">
        <f t="shared" si="1"/>
        <v>91401667</v>
      </c>
      <c r="M222" s="12">
        <f>IFERROR(__xludf.DUMMYFUNCTION("+N222/L222"),0.4321766582222182)</f>
        <v>0.4321766582</v>
      </c>
      <c r="N222" s="13">
        <v>3.9501667E7</v>
      </c>
      <c r="O222" s="13">
        <f t="shared" si="2"/>
        <v>51900000</v>
      </c>
      <c r="P222" s="8" t="s">
        <v>53</v>
      </c>
      <c r="Q222" s="8">
        <v>18825.0</v>
      </c>
      <c r="R222" s="8">
        <v>21725.0</v>
      </c>
      <c r="S222" s="14">
        <v>45694.0</v>
      </c>
      <c r="T222" s="15" t="s">
        <v>587</v>
      </c>
      <c r="U222" s="14">
        <v>45701.0</v>
      </c>
      <c r="V222" s="8"/>
      <c r="W222" s="8">
        <v>327.0</v>
      </c>
      <c r="X222" s="8">
        <f t="shared" si="3"/>
        <v>327</v>
      </c>
      <c r="Y222" s="8">
        <v>49.53271028</v>
      </c>
      <c r="Z222" s="17">
        <f>VLOOKUP(F222,RANGOFECHAFINAL,25,FALSE)</f>
        <v>46022</v>
      </c>
      <c r="AA222" s="8" t="s">
        <v>352</v>
      </c>
      <c r="AB222" s="8" t="s">
        <v>182</v>
      </c>
      <c r="AC222" s="8" t="s">
        <v>42</v>
      </c>
      <c r="AD222" s="7"/>
    </row>
    <row r="223">
      <c r="A223" s="7"/>
      <c r="B223" s="7" t="s">
        <v>581</v>
      </c>
      <c r="C223" s="7" t="s">
        <v>1068</v>
      </c>
      <c r="D223" s="7" t="s">
        <v>32</v>
      </c>
      <c r="E223" s="21" t="s">
        <v>520</v>
      </c>
      <c r="F223" s="8" t="s">
        <v>1069</v>
      </c>
      <c r="G223" s="9" t="s">
        <v>1070</v>
      </c>
      <c r="H223" s="8" t="s">
        <v>1071</v>
      </c>
      <c r="I223" s="8">
        <v>1.088340956E9</v>
      </c>
      <c r="J223" s="10">
        <v>5.060475E7</v>
      </c>
      <c r="K223" s="11"/>
      <c r="L223" s="10">
        <f t="shared" si="1"/>
        <v>50604750</v>
      </c>
      <c r="M223" s="12">
        <f>IFERROR(__xludf.DUMMYFUNCTION("+N223/L223"),0.43492063492063493)</f>
        <v>0.4349206349</v>
      </c>
      <c r="N223" s="13">
        <v>2.200905E7</v>
      </c>
      <c r="O223" s="13">
        <f t="shared" si="2"/>
        <v>28595700</v>
      </c>
      <c r="P223" s="8" t="s">
        <v>53</v>
      </c>
      <c r="Q223" s="8">
        <v>18925.0</v>
      </c>
      <c r="R223" s="8">
        <v>18925.0</v>
      </c>
      <c r="S223" s="14">
        <v>45694.0</v>
      </c>
      <c r="T223" s="15" t="s">
        <v>587</v>
      </c>
      <c r="U223" s="14">
        <v>45701.0</v>
      </c>
      <c r="V223" s="8"/>
      <c r="W223" s="8">
        <v>324.0</v>
      </c>
      <c r="X223" s="8">
        <f t="shared" si="3"/>
        <v>324</v>
      </c>
      <c r="Y223" s="8">
        <v>50.0</v>
      </c>
      <c r="Z223" s="17">
        <f>VLOOKUP(F223,RANGOFECHAFINAL,25,FALSE)</f>
        <v>46019</v>
      </c>
      <c r="AA223" s="8" t="s">
        <v>973</v>
      </c>
      <c r="AB223" s="8" t="s">
        <v>182</v>
      </c>
      <c r="AC223" s="8" t="s">
        <v>42</v>
      </c>
      <c r="AD223" s="7"/>
    </row>
    <row r="224">
      <c r="A224" s="7"/>
      <c r="B224" s="7" t="s">
        <v>581</v>
      </c>
      <c r="C224" s="7" t="s">
        <v>1072</v>
      </c>
      <c r="D224" s="7" t="s">
        <v>32</v>
      </c>
      <c r="E224" s="21" t="s">
        <v>520</v>
      </c>
      <c r="F224" s="8" t="s">
        <v>1073</v>
      </c>
      <c r="G224" s="9" t="s">
        <v>1074</v>
      </c>
      <c r="H224" s="8" t="s">
        <v>1075</v>
      </c>
      <c r="I224" s="8">
        <v>5.2958449E7</v>
      </c>
      <c r="J224" s="10">
        <v>9.6073055E7</v>
      </c>
      <c r="K224" s="11"/>
      <c r="L224" s="10">
        <f t="shared" si="1"/>
        <v>96073055</v>
      </c>
      <c r="M224" s="12">
        <f>IFERROR(__xludf.DUMMYFUNCTION("+N224/L224"),0.43143952276733577)</f>
        <v>0.4314395228</v>
      </c>
      <c r="N224" s="13">
        <v>4.1449713E7</v>
      </c>
      <c r="O224" s="13">
        <f t="shared" si="2"/>
        <v>54623342</v>
      </c>
      <c r="P224" s="8" t="s">
        <v>351</v>
      </c>
      <c r="Q224" s="8">
        <v>18425.0</v>
      </c>
      <c r="R224" s="8">
        <v>21125.0</v>
      </c>
      <c r="S224" s="14">
        <v>45694.0</v>
      </c>
      <c r="T224" s="15" t="s">
        <v>587</v>
      </c>
      <c r="U224" s="14">
        <v>45702.0</v>
      </c>
      <c r="V224" s="8"/>
      <c r="W224" s="8">
        <v>327.0</v>
      </c>
      <c r="X224" s="8">
        <f t="shared" si="3"/>
        <v>327</v>
      </c>
      <c r="Y224" s="8">
        <v>49.52978056</v>
      </c>
      <c r="Z224" s="17">
        <f>VLOOKUP(F224,RANGOFECHAFINAL,25,FALSE)</f>
        <v>46021</v>
      </c>
      <c r="AA224" s="8" t="s">
        <v>352</v>
      </c>
      <c r="AB224" s="8" t="s">
        <v>182</v>
      </c>
      <c r="AC224" s="8" t="s">
        <v>42</v>
      </c>
      <c r="AD224" s="7"/>
    </row>
    <row r="225">
      <c r="A225" s="7"/>
      <c r="B225" s="7" t="s">
        <v>581</v>
      </c>
      <c r="C225" s="7" t="s">
        <v>1076</v>
      </c>
      <c r="D225" s="7" t="s">
        <v>32</v>
      </c>
      <c r="E225" s="21" t="s">
        <v>520</v>
      </c>
      <c r="F225" s="8" t="s">
        <v>1077</v>
      </c>
      <c r="G225" s="9" t="s">
        <v>1078</v>
      </c>
      <c r="H225" s="8" t="s">
        <v>1079</v>
      </c>
      <c r="I225" s="8">
        <v>1.049646618E9</v>
      </c>
      <c r="J225" s="10">
        <v>5.0E7</v>
      </c>
      <c r="K225" s="11"/>
      <c r="L225" s="10">
        <f t="shared" si="1"/>
        <v>50000000</v>
      </c>
      <c r="M225" s="12">
        <f>IFERROR(__xludf.DUMMYFUNCTION("+N225/L225"),0.55833334)</f>
        <v>0.55833334</v>
      </c>
      <c r="N225" s="13">
        <v>2.7916667E7</v>
      </c>
      <c r="O225" s="13">
        <f t="shared" si="2"/>
        <v>22083333</v>
      </c>
      <c r="P225" s="8" t="s">
        <v>77</v>
      </c>
      <c r="Q225" s="8">
        <v>24425.0</v>
      </c>
      <c r="R225" s="8">
        <v>24825.0</v>
      </c>
      <c r="S225" s="19">
        <v>45702.0</v>
      </c>
      <c r="T225" s="15" t="s">
        <v>587</v>
      </c>
      <c r="U225" s="14">
        <v>45705.0</v>
      </c>
      <c r="V225" s="8"/>
      <c r="W225" s="8">
        <v>241.0</v>
      </c>
      <c r="X225" s="8">
        <f t="shared" si="3"/>
        <v>241</v>
      </c>
      <c r="Y225" s="8">
        <v>64.3153527</v>
      </c>
      <c r="Z225" s="17">
        <f>VLOOKUP(F225,RANGOFECHAFINAL,25,FALSE)</f>
        <v>45946</v>
      </c>
      <c r="AA225" s="8" t="s">
        <v>433</v>
      </c>
      <c r="AB225" s="8" t="s">
        <v>106</v>
      </c>
      <c r="AC225" s="8" t="s">
        <v>42</v>
      </c>
      <c r="AD225" s="7"/>
    </row>
    <row r="226">
      <c r="A226" s="7"/>
      <c r="B226" s="7" t="s">
        <v>581</v>
      </c>
      <c r="C226" s="7" t="s">
        <v>1080</v>
      </c>
      <c r="D226" s="7" t="s">
        <v>32</v>
      </c>
      <c r="E226" s="21" t="s">
        <v>520</v>
      </c>
      <c r="F226" s="8" t="s">
        <v>1081</v>
      </c>
      <c r="G226" s="9" t="s">
        <v>1082</v>
      </c>
      <c r="H226" s="8" t="s">
        <v>1083</v>
      </c>
      <c r="I226" s="8">
        <v>1.031141613E9</v>
      </c>
      <c r="J226" s="10">
        <v>5.04E7</v>
      </c>
      <c r="K226" s="11"/>
      <c r="L226" s="10">
        <f t="shared" si="1"/>
        <v>50400000</v>
      </c>
      <c r="M226" s="12">
        <f>IFERROR(__xludf.DUMMYFUNCTION("+N226/L226"),0.5541666666666667)</f>
        <v>0.5541666667</v>
      </c>
      <c r="N226" s="13">
        <v>2.793E7</v>
      </c>
      <c r="O226" s="13">
        <f t="shared" si="2"/>
        <v>22470000</v>
      </c>
      <c r="P226" s="8" t="s">
        <v>351</v>
      </c>
      <c r="Q226" s="40">
        <v>18525.0</v>
      </c>
      <c r="R226" s="40">
        <v>20525.0</v>
      </c>
      <c r="S226" s="37">
        <v>45693.0</v>
      </c>
      <c r="T226" s="40" t="s">
        <v>587</v>
      </c>
      <c r="U226" s="37">
        <v>45702.0</v>
      </c>
      <c r="V226" s="8"/>
      <c r="W226" s="35">
        <v>327.0</v>
      </c>
      <c r="X226" s="8">
        <f t="shared" si="3"/>
        <v>327</v>
      </c>
      <c r="Y226" s="8">
        <v>64.48979592</v>
      </c>
      <c r="Z226" s="17">
        <f>VLOOKUP(F226,RANGOFECHAFINAL,25,FALSE)</f>
        <v>45947</v>
      </c>
      <c r="AA226" s="8" t="s">
        <v>973</v>
      </c>
      <c r="AB226" s="8" t="s">
        <v>182</v>
      </c>
      <c r="AC226" s="8" t="s">
        <v>42</v>
      </c>
      <c r="AD226" s="7"/>
    </row>
    <row r="227">
      <c r="A227" s="7"/>
      <c r="B227" s="7" t="s">
        <v>581</v>
      </c>
      <c r="C227" s="7" t="s">
        <v>1084</v>
      </c>
      <c r="D227" s="7" t="s">
        <v>32</v>
      </c>
      <c r="E227" s="21" t="s">
        <v>520</v>
      </c>
      <c r="F227" s="8" t="s">
        <v>1085</v>
      </c>
      <c r="G227" s="9" t="s">
        <v>1086</v>
      </c>
      <c r="H227" s="8" t="s">
        <v>1087</v>
      </c>
      <c r="I227" s="24">
        <v>1.01850558E9</v>
      </c>
      <c r="J227" s="10">
        <v>3.836651E7</v>
      </c>
      <c r="K227" s="11"/>
      <c r="L227" s="10">
        <f t="shared" si="1"/>
        <v>38366510</v>
      </c>
      <c r="M227" s="12">
        <f>IFERROR(__xludf.DUMMYFUNCTION("+N227/L227"),0.43217665615141954)</f>
        <v>0.4321766562</v>
      </c>
      <c r="N227" s="13">
        <v>1.658111E7</v>
      </c>
      <c r="O227" s="13">
        <f t="shared" si="2"/>
        <v>21785400</v>
      </c>
      <c r="P227" s="8" t="s">
        <v>77</v>
      </c>
      <c r="Q227" s="8">
        <v>23625.0</v>
      </c>
      <c r="R227" s="8">
        <v>21025.0</v>
      </c>
      <c r="S227" s="14">
        <v>45694.0</v>
      </c>
      <c r="T227" s="15" t="s">
        <v>587</v>
      </c>
      <c r="U227" s="14">
        <v>45702.0</v>
      </c>
      <c r="V227" s="8"/>
      <c r="W227" s="8">
        <v>302.0</v>
      </c>
      <c r="X227" s="8">
        <f t="shared" si="3"/>
        <v>302</v>
      </c>
      <c r="Y227" s="8">
        <v>49.52978056</v>
      </c>
      <c r="Z227" s="17">
        <f>VLOOKUP(F227,RANGOFECHAFINAL,25,FALSE)</f>
        <v>46021</v>
      </c>
      <c r="AA227" s="8" t="s">
        <v>524</v>
      </c>
      <c r="AB227" s="8" t="s">
        <v>848</v>
      </c>
      <c r="AC227" s="8" t="s">
        <v>42</v>
      </c>
      <c r="AD227" s="7"/>
    </row>
    <row r="228">
      <c r="A228" s="7"/>
      <c r="B228" s="7" t="s">
        <v>581</v>
      </c>
      <c r="C228" s="7" t="s">
        <v>1088</v>
      </c>
      <c r="D228" s="7" t="s">
        <v>32</v>
      </c>
      <c r="E228" s="21" t="s">
        <v>520</v>
      </c>
      <c r="F228" s="8" t="s">
        <v>1089</v>
      </c>
      <c r="G228" s="9" t="s">
        <v>1090</v>
      </c>
      <c r="H228" s="8" t="s">
        <v>1091</v>
      </c>
      <c r="I228" s="8">
        <v>5.3176483E7</v>
      </c>
      <c r="J228" s="10">
        <v>5.6E7</v>
      </c>
      <c r="K228" s="11"/>
      <c r="L228" s="10">
        <f t="shared" si="1"/>
        <v>56000000</v>
      </c>
      <c r="M228" s="12">
        <f>IFERROR(__xludf.DUMMYFUNCTION("+N228/L228"),0.5416666607142857)</f>
        <v>0.5416666607</v>
      </c>
      <c r="N228" s="13">
        <v>3.0333333E7</v>
      </c>
      <c r="O228" s="13">
        <f t="shared" si="2"/>
        <v>25666667</v>
      </c>
      <c r="P228" s="8" t="s">
        <v>53</v>
      </c>
      <c r="Q228" s="8">
        <v>23825.0</v>
      </c>
      <c r="R228" s="8">
        <v>22425.0</v>
      </c>
      <c r="S228" s="14">
        <v>45698.0</v>
      </c>
      <c r="T228" s="15" t="s">
        <v>587</v>
      </c>
      <c r="U228" s="14">
        <v>45702.0</v>
      </c>
      <c r="V228" s="8"/>
      <c r="W228" s="8">
        <v>320.0</v>
      </c>
      <c r="X228" s="8">
        <f t="shared" si="3"/>
        <v>320</v>
      </c>
      <c r="Y228" s="8">
        <v>63.70967742</v>
      </c>
      <c r="Z228" s="17">
        <f>VLOOKUP(F228,RANGOFECHAFINAL,25,FALSE)</f>
        <v>45950</v>
      </c>
      <c r="AA228" s="8" t="s">
        <v>657</v>
      </c>
      <c r="AB228" s="8" t="s">
        <v>537</v>
      </c>
      <c r="AC228" s="8" t="s">
        <v>42</v>
      </c>
      <c r="AD228" s="7"/>
    </row>
    <row r="229">
      <c r="A229" s="7"/>
      <c r="B229" s="7" t="s">
        <v>581</v>
      </c>
      <c r="C229" s="7" t="s">
        <v>1092</v>
      </c>
      <c r="D229" s="7" t="s">
        <v>32</v>
      </c>
      <c r="E229" s="21" t="s">
        <v>520</v>
      </c>
      <c r="F229" s="8" t="s">
        <v>1093</v>
      </c>
      <c r="G229" s="9" t="s">
        <v>1094</v>
      </c>
      <c r="H229" s="8" t="s">
        <v>1095</v>
      </c>
      <c r="I229" s="8">
        <v>2.5221017E7</v>
      </c>
      <c r="J229" s="10">
        <v>8.125E7</v>
      </c>
      <c r="K229" s="11">
        <v>-1000000.0</v>
      </c>
      <c r="L229" s="10">
        <f t="shared" si="1"/>
        <v>80250000</v>
      </c>
      <c r="M229" s="12">
        <f>IFERROR(__xludf.DUMMYFUNCTION("+N229/L229"),0.41448286604361373)</f>
        <v>0.414482866</v>
      </c>
      <c r="N229" s="13">
        <v>3.326225E7</v>
      </c>
      <c r="O229" s="13">
        <f t="shared" si="2"/>
        <v>46987750</v>
      </c>
      <c r="P229" s="8" t="s">
        <v>367</v>
      </c>
      <c r="Q229" s="8">
        <v>22425.0</v>
      </c>
      <c r="R229" s="8">
        <v>22025.0</v>
      </c>
      <c r="S229" s="14">
        <v>45695.0</v>
      </c>
      <c r="T229" s="15" t="s">
        <v>587</v>
      </c>
      <c r="U229" s="14">
        <v>45705.0</v>
      </c>
      <c r="V229" s="8"/>
      <c r="W229" s="8">
        <v>317.0</v>
      </c>
      <c r="X229" s="8">
        <f t="shared" si="3"/>
        <v>317</v>
      </c>
      <c r="Y229" s="8">
        <v>48.89589905</v>
      </c>
      <c r="Z229" s="17">
        <f>VLOOKUP(F229,RANGOFECHAFINAL,25,FALSE)</f>
        <v>46022</v>
      </c>
      <c r="AA229" s="8" t="s">
        <v>992</v>
      </c>
      <c r="AB229" s="8" t="s">
        <v>223</v>
      </c>
      <c r="AC229" s="8" t="s">
        <v>42</v>
      </c>
      <c r="AD229" s="7"/>
    </row>
    <row r="230">
      <c r="A230" s="7"/>
      <c r="B230" s="7" t="s">
        <v>581</v>
      </c>
      <c r="C230" s="41" t="s">
        <v>1096</v>
      </c>
      <c r="D230" s="7" t="s">
        <v>32</v>
      </c>
      <c r="E230" s="21" t="s">
        <v>520</v>
      </c>
      <c r="F230" s="8" t="s">
        <v>1097</v>
      </c>
      <c r="G230" s="9" t="s">
        <v>1098</v>
      </c>
      <c r="H230" s="8" t="s">
        <v>1099</v>
      </c>
      <c r="I230" s="8">
        <v>8.706746E7</v>
      </c>
      <c r="J230" s="10">
        <v>6.6E7</v>
      </c>
      <c r="K230" s="11"/>
      <c r="L230" s="10">
        <f t="shared" si="1"/>
        <v>66000000</v>
      </c>
      <c r="M230" s="12">
        <f>IFERROR(__xludf.DUMMYFUNCTION("+N230/L230"),0.4779988636363636)</f>
        <v>0.4779988636</v>
      </c>
      <c r="N230" s="13">
        <v>3.1547925E7</v>
      </c>
      <c r="O230" s="13">
        <f t="shared" si="2"/>
        <v>34452075</v>
      </c>
      <c r="P230" s="8" t="s">
        <v>77</v>
      </c>
      <c r="Q230" s="8">
        <v>24625.0</v>
      </c>
      <c r="R230" s="8">
        <v>26925.0</v>
      </c>
      <c r="S230" s="14">
        <v>45709.0</v>
      </c>
      <c r="T230" s="15" t="s">
        <v>587</v>
      </c>
      <c r="U230" s="14">
        <v>45706.0</v>
      </c>
      <c r="V230" s="8"/>
      <c r="W230" s="8">
        <v>275.0</v>
      </c>
      <c r="X230" s="8">
        <f t="shared" si="3"/>
        <v>275</v>
      </c>
      <c r="Y230" s="8">
        <v>55.19713262</v>
      </c>
      <c r="Z230" s="17">
        <f>VLOOKUP(F230,RANGOFECHAFINAL,25,FALSE)</f>
        <v>45985</v>
      </c>
      <c r="AA230" s="8" t="s">
        <v>433</v>
      </c>
      <c r="AB230" s="8" t="s">
        <v>223</v>
      </c>
      <c r="AC230" s="8" t="s">
        <v>42</v>
      </c>
      <c r="AD230" s="7"/>
    </row>
    <row r="231">
      <c r="A231" s="7"/>
      <c r="B231" s="7" t="s">
        <v>581</v>
      </c>
      <c r="C231" s="7" t="s">
        <v>1100</v>
      </c>
      <c r="D231" s="7" t="s">
        <v>32</v>
      </c>
      <c r="E231" s="21" t="s">
        <v>520</v>
      </c>
      <c r="F231" s="8" t="s">
        <v>1101</v>
      </c>
      <c r="G231" s="9" t="s">
        <v>1102</v>
      </c>
      <c r="H231" s="8" t="s">
        <v>1103</v>
      </c>
      <c r="I231" s="8">
        <v>5.3009738E7</v>
      </c>
      <c r="J231" s="10">
        <v>2.2692E7</v>
      </c>
      <c r="K231" s="11"/>
      <c r="L231" s="10">
        <f t="shared" si="1"/>
        <v>22692000</v>
      </c>
      <c r="M231" s="12">
        <f>IFERROR(__xludf.DUMMYFUNCTION("+N231/L231"),1.0)</f>
        <v>1</v>
      </c>
      <c r="N231" s="13">
        <v>2.2692E7</v>
      </c>
      <c r="O231" s="13">
        <f t="shared" si="2"/>
        <v>0</v>
      </c>
      <c r="P231" s="8" t="s">
        <v>67</v>
      </c>
      <c r="Q231" s="8">
        <v>22725.0</v>
      </c>
      <c r="R231" s="8">
        <v>22525.0</v>
      </c>
      <c r="S231" s="14">
        <v>45695.0</v>
      </c>
      <c r="T231" s="15" t="s">
        <v>587</v>
      </c>
      <c r="U231" s="14">
        <v>45702.0</v>
      </c>
      <c r="V231" s="8"/>
      <c r="W231" s="8">
        <v>324.0</v>
      </c>
      <c r="X231" s="8">
        <f t="shared" si="3"/>
        <v>324</v>
      </c>
      <c r="Y231" s="8">
        <v>100.0</v>
      </c>
      <c r="Z231" s="18">
        <v>45797.0</v>
      </c>
      <c r="AA231" s="8" t="s">
        <v>433</v>
      </c>
      <c r="AB231" s="8" t="s">
        <v>223</v>
      </c>
      <c r="AC231" s="8" t="s">
        <v>661</v>
      </c>
      <c r="AD231" s="7"/>
    </row>
    <row r="232">
      <c r="A232" s="7"/>
      <c r="B232" s="7" t="s">
        <v>581</v>
      </c>
      <c r="C232" s="7" t="s">
        <v>1104</v>
      </c>
      <c r="D232" s="7" t="s">
        <v>32</v>
      </c>
      <c r="E232" s="21" t="s">
        <v>520</v>
      </c>
      <c r="F232" s="8" t="s">
        <v>1105</v>
      </c>
      <c r="G232" s="9" t="s">
        <v>1106</v>
      </c>
      <c r="H232" s="8" t="s">
        <v>1107</v>
      </c>
      <c r="I232" s="8">
        <v>8.0012143E7</v>
      </c>
      <c r="J232" s="10">
        <v>1.0E8</v>
      </c>
      <c r="K232" s="11"/>
      <c r="L232" s="10">
        <f t="shared" si="1"/>
        <v>100000000</v>
      </c>
      <c r="M232" s="12">
        <f>IFERROR(__xludf.DUMMYFUNCTION("+N232/L232"),0.42333333)</f>
        <v>0.42333333</v>
      </c>
      <c r="N232" s="13">
        <v>4.2333333E7</v>
      </c>
      <c r="O232" s="13">
        <f t="shared" si="2"/>
        <v>57666667</v>
      </c>
      <c r="P232" s="8" t="s">
        <v>1108</v>
      </c>
      <c r="Q232" s="8">
        <v>54724.0</v>
      </c>
      <c r="R232" s="8">
        <v>26825.0</v>
      </c>
      <c r="S232" s="14">
        <v>45709.0</v>
      </c>
      <c r="T232" s="15" t="s">
        <v>587</v>
      </c>
      <c r="U232" s="14">
        <v>45712.0</v>
      </c>
      <c r="V232" s="8"/>
      <c r="W232" s="8">
        <v>302.0</v>
      </c>
      <c r="X232" s="8">
        <f t="shared" si="3"/>
        <v>302</v>
      </c>
      <c r="Y232" s="8">
        <v>49.00662252</v>
      </c>
      <c r="Z232" s="17">
        <f>VLOOKUP(F232,RANGOFECHAFINAL,25,FALSE)</f>
        <v>46014</v>
      </c>
      <c r="AA232" s="42" t="s">
        <v>666</v>
      </c>
      <c r="AB232" s="8" t="s">
        <v>113</v>
      </c>
      <c r="AC232" s="8" t="s">
        <v>42</v>
      </c>
      <c r="AD232" s="7"/>
    </row>
    <row r="233">
      <c r="A233" s="7"/>
      <c r="B233" s="7" t="s">
        <v>581</v>
      </c>
      <c r="C233" s="7" t="s">
        <v>1109</v>
      </c>
      <c r="D233" s="7" t="s">
        <v>32</v>
      </c>
      <c r="E233" s="21" t="s">
        <v>520</v>
      </c>
      <c r="F233" s="8" t="s">
        <v>1110</v>
      </c>
      <c r="G233" s="9" t="s">
        <v>1111</v>
      </c>
      <c r="H233" s="8" t="s">
        <v>1112</v>
      </c>
      <c r="I233" s="8">
        <v>1.073519307E9</v>
      </c>
      <c r="J233" s="10">
        <v>1.31229E7</v>
      </c>
      <c r="K233" s="11"/>
      <c r="L233" s="10">
        <f t="shared" si="1"/>
        <v>13122900</v>
      </c>
      <c r="M233" s="12">
        <f>IFERROR(__xludf.DUMMYFUNCTION("+N233/L233"),1.0)</f>
        <v>1</v>
      </c>
      <c r="N233" s="13">
        <v>1.31229E7</v>
      </c>
      <c r="O233" s="13">
        <f t="shared" si="2"/>
        <v>0</v>
      </c>
      <c r="P233" s="8" t="s">
        <v>38</v>
      </c>
      <c r="Q233" s="8">
        <v>22225.0</v>
      </c>
      <c r="R233" s="8">
        <v>23025.0</v>
      </c>
      <c r="S233" s="14">
        <v>45699.0</v>
      </c>
      <c r="T233" s="15" t="s">
        <v>587</v>
      </c>
      <c r="U233" s="14">
        <v>45709.0</v>
      </c>
      <c r="V233" s="8"/>
      <c r="W233" s="8">
        <v>322.0</v>
      </c>
      <c r="X233" s="8">
        <f t="shared" si="3"/>
        <v>322</v>
      </c>
      <c r="Y233" s="8">
        <v>100.0</v>
      </c>
      <c r="Z233" s="18">
        <v>45804.0</v>
      </c>
      <c r="AA233" s="8" t="s">
        <v>1113</v>
      </c>
      <c r="AB233" s="8" t="s">
        <v>113</v>
      </c>
      <c r="AC233" s="8" t="s">
        <v>661</v>
      </c>
      <c r="AD233" s="7"/>
    </row>
    <row r="234">
      <c r="A234" s="7"/>
      <c r="B234" s="7" t="s">
        <v>581</v>
      </c>
      <c r="C234" s="7" t="s">
        <v>1114</v>
      </c>
      <c r="D234" s="7" t="s">
        <v>32</v>
      </c>
      <c r="E234" s="21" t="s">
        <v>520</v>
      </c>
      <c r="F234" s="8" t="s">
        <v>1115</v>
      </c>
      <c r="G234" s="9" t="s">
        <v>1116</v>
      </c>
      <c r="H234" s="8" t="s">
        <v>1117</v>
      </c>
      <c r="I234" s="8">
        <v>1.019003737E9</v>
      </c>
      <c r="J234" s="10">
        <v>7.067762E7</v>
      </c>
      <c r="K234" s="11"/>
      <c r="L234" s="10">
        <f t="shared" si="1"/>
        <v>70677620</v>
      </c>
      <c r="M234" s="12">
        <f>IFERROR(__xludf.DUMMYFUNCTION("+N234/L234"),0.42333332673058316)</f>
        <v>0.4233333267</v>
      </c>
      <c r="N234" s="13">
        <v>2.9920192E7</v>
      </c>
      <c r="O234" s="13">
        <f t="shared" si="2"/>
        <v>40757428</v>
      </c>
      <c r="P234" s="8" t="s">
        <v>111</v>
      </c>
      <c r="Q234" s="8">
        <v>26325.0</v>
      </c>
      <c r="R234" s="8">
        <v>26725.0</v>
      </c>
      <c r="S234" s="15" t="s">
        <v>258</v>
      </c>
      <c r="T234" s="15" t="s">
        <v>587</v>
      </c>
      <c r="U234" s="14">
        <v>45713.0</v>
      </c>
      <c r="V234" s="8"/>
      <c r="W234" s="8">
        <v>302.0</v>
      </c>
      <c r="X234" s="8">
        <v>302.0</v>
      </c>
      <c r="Y234" s="8">
        <v>48.8372093</v>
      </c>
      <c r="Z234" s="17">
        <f>VLOOKUP(F234,RANGOFECHAFINAL,25,FALSE)</f>
        <v>46014</v>
      </c>
      <c r="AA234" s="8" t="s">
        <v>666</v>
      </c>
      <c r="AB234" s="8" t="s">
        <v>113</v>
      </c>
      <c r="AC234" s="8" t="s">
        <v>42</v>
      </c>
      <c r="AD234" s="7"/>
    </row>
    <row r="235">
      <c r="A235" s="7"/>
      <c r="B235" s="7" t="s">
        <v>581</v>
      </c>
      <c r="C235" s="7" t="s">
        <v>1118</v>
      </c>
      <c r="D235" s="7" t="s">
        <v>32</v>
      </c>
      <c r="E235" s="21" t="s">
        <v>520</v>
      </c>
      <c r="F235" s="8" t="s">
        <v>1119</v>
      </c>
      <c r="G235" s="9" t="s">
        <v>1120</v>
      </c>
      <c r="H235" s="8" t="s">
        <v>1121</v>
      </c>
      <c r="I235" s="8">
        <v>1.083897571E9</v>
      </c>
      <c r="J235" s="10">
        <v>8.5E7</v>
      </c>
      <c r="K235" s="11"/>
      <c r="L235" s="10">
        <f t="shared" si="1"/>
        <v>85000000</v>
      </c>
      <c r="M235" s="12">
        <f>IFERROR(__xludf.DUMMYFUNCTION("+N235/L235"),0.4166666705882353)</f>
        <v>0.4166666706</v>
      </c>
      <c r="N235" s="13">
        <v>3.5416667E7</v>
      </c>
      <c r="O235" s="13">
        <f t="shared" si="2"/>
        <v>49583333</v>
      </c>
      <c r="P235" s="8" t="s">
        <v>91</v>
      </c>
      <c r="Q235" s="8">
        <v>22025.0</v>
      </c>
      <c r="R235" s="8">
        <v>22025.0</v>
      </c>
      <c r="S235" s="14">
        <v>45695.0</v>
      </c>
      <c r="T235" s="15" t="s">
        <v>587</v>
      </c>
      <c r="U235" s="14">
        <v>45710.0</v>
      </c>
      <c r="V235" s="8"/>
      <c r="W235" s="8">
        <v>272.0</v>
      </c>
      <c r="X235" s="8">
        <f t="shared" ref="X235:X289" si="4">W235+V235</f>
        <v>272</v>
      </c>
      <c r="Y235" s="8">
        <v>49.01960784</v>
      </c>
      <c r="Z235" s="17">
        <f>VLOOKUP(F235,RANGOFECHAFINAL,25,FALSE)</f>
        <v>46016</v>
      </c>
      <c r="AA235" s="8" t="s">
        <v>428</v>
      </c>
      <c r="AB235" s="8" t="s">
        <v>537</v>
      </c>
      <c r="AC235" s="8" t="s">
        <v>42</v>
      </c>
      <c r="AD235" s="7"/>
    </row>
    <row r="236">
      <c r="A236" s="7"/>
      <c r="B236" s="7" t="s">
        <v>581</v>
      </c>
      <c r="C236" s="7"/>
      <c r="D236" s="7" t="s">
        <v>32</v>
      </c>
      <c r="E236" s="21" t="s">
        <v>520</v>
      </c>
      <c r="F236" s="8" t="s">
        <v>1122</v>
      </c>
      <c r="G236" s="9" t="s">
        <v>1123</v>
      </c>
      <c r="H236" s="8" t="s">
        <v>1124</v>
      </c>
      <c r="I236" s="8">
        <v>1.002537103E9</v>
      </c>
      <c r="J236" s="10">
        <v>3.857945E7</v>
      </c>
      <c r="K236" s="11">
        <v>-3.642912E7</v>
      </c>
      <c r="L236" s="10">
        <f t="shared" si="1"/>
        <v>2150330</v>
      </c>
      <c r="M236" s="12">
        <f>IFERROR(__xludf.DUMMYFUNCTION("+N236/L236"),1.0)</f>
        <v>1</v>
      </c>
      <c r="N236" s="10">
        <v>2150330.0</v>
      </c>
      <c r="O236" s="13">
        <f t="shared" si="2"/>
        <v>0</v>
      </c>
      <c r="P236" s="8" t="s">
        <v>313</v>
      </c>
      <c r="Q236" s="8">
        <v>20325.0</v>
      </c>
      <c r="R236" s="8">
        <v>22325.0</v>
      </c>
      <c r="S236" s="14">
        <v>45695.0</v>
      </c>
      <c r="T236" s="15" t="s">
        <v>587</v>
      </c>
      <c r="U236" s="14">
        <v>45709.0</v>
      </c>
      <c r="V236" s="8"/>
      <c r="W236" s="8">
        <v>324.0</v>
      </c>
      <c r="X236" s="8">
        <f t="shared" si="4"/>
        <v>324</v>
      </c>
      <c r="Y236" s="8">
        <v>100.0</v>
      </c>
      <c r="Z236" s="18">
        <v>45730.0</v>
      </c>
      <c r="AA236" s="8" t="s">
        <v>874</v>
      </c>
      <c r="AB236" s="8" t="s">
        <v>165</v>
      </c>
      <c r="AC236" s="8" t="s">
        <v>72</v>
      </c>
      <c r="AD236" s="7"/>
    </row>
    <row r="237">
      <c r="A237" s="7"/>
      <c r="B237" s="7" t="s">
        <v>581</v>
      </c>
      <c r="C237" s="7" t="s">
        <v>1125</v>
      </c>
      <c r="D237" s="7" t="s">
        <v>32</v>
      </c>
      <c r="E237" s="21" t="s">
        <v>520</v>
      </c>
      <c r="F237" s="8" t="s">
        <v>1126</v>
      </c>
      <c r="G237" s="9" t="s">
        <v>1127</v>
      </c>
      <c r="H237" s="8" t="s">
        <v>1128</v>
      </c>
      <c r="I237" s="8">
        <v>8.0111613E7</v>
      </c>
      <c r="J237" s="10">
        <v>7.2333333E7</v>
      </c>
      <c r="K237" s="11">
        <v>-1633333.0</v>
      </c>
      <c r="L237" s="10">
        <f t="shared" si="1"/>
        <v>70700000</v>
      </c>
      <c r="M237" s="12">
        <f>IFERROR(__xludf.DUMMYFUNCTION("+N237/L237"),0.40594059405940597)</f>
        <v>0.4059405941</v>
      </c>
      <c r="N237" s="13">
        <v>2.87E7</v>
      </c>
      <c r="O237" s="13">
        <f t="shared" si="2"/>
        <v>42000000</v>
      </c>
      <c r="P237" s="8" t="s">
        <v>91</v>
      </c>
      <c r="Q237" s="8">
        <v>22625.0</v>
      </c>
      <c r="R237" s="8">
        <v>23125.0</v>
      </c>
      <c r="S237" s="14">
        <v>45699.0</v>
      </c>
      <c r="T237" s="15" t="s">
        <v>587</v>
      </c>
      <c r="U237" s="14">
        <v>45712.0</v>
      </c>
      <c r="V237" s="8"/>
      <c r="W237" s="8">
        <v>317.0</v>
      </c>
      <c r="X237" s="8">
        <f t="shared" si="4"/>
        <v>317</v>
      </c>
      <c r="Y237" s="8">
        <v>47.74193548</v>
      </c>
      <c r="Z237" s="17">
        <f>VLOOKUP(F237,RANGOFECHAFINAL,25,FALSE)</f>
        <v>46022</v>
      </c>
      <c r="AA237" s="8" t="s">
        <v>561</v>
      </c>
      <c r="AB237" s="8" t="s">
        <v>165</v>
      </c>
      <c r="AC237" s="8" t="s">
        <v>42</v>
      </c>
      <c r="AD237" s="7"/>
    </row>
    <row r="238" hidden="1">
      <c r="A238" s="7"/>
      <c r="B238" s="7" t="s">
        <v>581</v>
      </c>
      <c r="C238" s="7" t="s">
        <v>1129</v>
      </c>
      <c r="D238" s="7" t="s">
        <v>32</v>
      </c>
      <c r="E238" s="8" t="s">
        <v>781</v>
      </c>
      <c r="F238" s="8" t="s">
        <v>1130</v>
      </c>
      <c r="G238" s="9" t="s">
        <v>1131</v>
      </c>
      <c r="H238" s="8" t="s">
        <v>1132</v>
      </c>
      <c r="I238" s="8">
        <v>1.00022301E9</v>
      </c>
      <c r="J238" s="10">
        <v>2.397472E7</v>
      </c>
      <c r="K238" s="11">
        <v>-389200.0</v>
      </c>
      <c r="L238" s="10">
        <f t="shared" si="1"/>
        <v>23585520</v>
      </c>
      <c r="M238" s="12">
        <f>IFERROR(__xludf.DUMMYFUNCTION("+N238/L238"),0.40594059405940597)</f>
        <v>0.4059405941</v>
      </c>
      <c r="N238" s="13">
        <v>9574320.0</v>
      </c>
      <c r="O238" s="13">
        <f t="shared" si="2"/>
        <v>14011200</v>
      </c>
      <c r="P238" s="8" t="s">
        <v>53</v>
      </c>
      <c r="Q238" s="8">
        <v>23925.0</v>
      </c>
      <c r="R238" s="8">
        <v>22725.0</v>
      </c>
      <c r="S238" s="14">
        <v>45698.0</v>
      </c>
      <c r="T238" s="15" t="s">
        <v>587</v>
      </c>
      <c r="U238" s="14">
        <v>45716.0</v>
      </c>
      <c r="V238" s="8"/>
      <c r="W238" s="8">
        <v>321.0</v>
      </c>
      <c r="X238" s="8">
        <f t="shared" si="4"/>
        <v>321</v>
      </c>
      <c r="Y238" s="8">
        <v>47.05882353</v>
      </c>
      <c r="Z238" s="17">
        <f>VLOOKUP(F238,RANGOFECHAFINAL,25,FALSE)</f>
        <v>46022</v>
      </c>
      <c r="AA238" s="8" t="s">
        <v>500</v>
      </c>
      <c r="AB238" s="8" t="s">
        <v>258</v>
      </c>
      <c r="AC238" s="8" t="s">
        <v>42</v>
      </c>
      <c r="AD238" s="7"/>
    </row>
    <row r="239">
      <c r="A239" s="7"/>
      <c r="B239" s="7" t="s">
        <v>1133</v>
      </c>
      <c r="C239" s="7" t="s">
        <v>1134</v>
      </c>
      <c r="D239" s="7" t="s">
        <v>32</v>
      </c>
      <c r="E239" s="21" t="s">
        <v>520</v>
      </c>
      <c r="F239" s="8" t="s">
        <v>1135</v>
      </c>
      <c r="G239" s="9" t="s">
        <v>1136</v>
      </c>
      <c r="H239" s="8" t="s">
        <v>1137</v>
      </c>
      <c r="I239" s="8">
        <v>7.9942061E7</v>
      </c>
      <c r="J239" s="10">
        <v>8.4276115E7</v>
      </c>
      <c r="K239" s="11">
        <v>-2099405.0</v>
      </c>
      <c r="L239" s="10">
        <f t="shared" si="1"/>
        <v>82176710</v>
      </c>
      <c r="M239" s="12">
        <f>IFERROR(__xludf.DUMMYFUNCTION("+N239/L239"),0.34306569343065696)</f>
        <v>0.3430656934</v>
      </c>
      <c r="N239" s="13">
        <v>2.819201E7</v>
      </c>
      <c r="O239" s="13">
        <f t="shared" si="2"/>
        <v>53984700</v>
      </c>
      <c r="P239" s="8" t="s">
        <v>91</v>
      </c>
      <c r="Q239" s="8">
        <v>21325.0</v>
      </c>
      <c r="R239" s="8">
        <v>22625.0</v>
      </c>
      <c r="S239" s="14">
        <v>45698.0</v>
      </c>
      <c r="T239" s="15" t="s">
        <v>587</v>
      </c>
      <c r="U239" s="14">
        <v>45712.0</v>
      </c>
      <c r="V239" s="8"/>
      <c r="W239" s="8">
        <v>322.0</v>
      </c>
      <c r="X239" s="8">
        <f t="shared" si="4"/>
        <v>322</v>
      </c>
      <c r="Y239" s="8">
        <v>21.92592593</v>
      </c>
      <c r="Z239" s="17">
        <f>VLOOKUP(F239,RANGOFECHAFINAL,25,FALSE)</f>
        <v>46387</v>
      </c>
      <c r="AA239" s="8" t="s">
        <v>1138</v>
      </c>
      <c r="AB239" s="8" t="s">
        <v>258</v>
      </c>
      <c r="AC239" s="8" t="s">
        <v>42</v>
      </c>
      <c r="AD239" s="7"/>
    </row>
    <row r="240">
      <c r="A240" s="7"/>
      <c r="B240" s="7" t="s">
        <v>581</v>
      </c>
      <c r="C240" s="7" t="s">
        <v>1139</v>
      </c>
      <c r="D240" s="7" t="s">
        <v>32</v>
      </c>
      <c r="E240" s="8" t="s">
        <v>1030</v>
      </c>
      <c r="F240" s="8" t="s">
        <v>1140</v>
      </c>
      <c r="G240" s="9" t="s">
        <v>1141</v>
      </c>
      <c r="H240" s="8" t="s">
        <v>1142</v>
      </c>
      <c r="I240" s="24">
        <v>9.0145582E8</v>
      </c>
      <c r="J240" s="10">
        <v>1.3E8</v>
      </c>
      <c r="K240" s="11"/>
      <c r="L240" s="10">
        <f t="shared" si="1"/>
        <v>130000000</v>
      </c>
      <c r="M240" s="12">
        <f>IFERROR(__xludf.DUMMYFUNCTION("+N240/L240"),0.38333333076923076)</f>
        <v>0.3833333308</v>
      </c>
      <c r="N240" s="13">
        <v>4.9833333E7</v>
      </c>
      <c r="O240" s="13">
        <f t="shared" si="2"/>
        <v>80166667</v>
      </c>
      <c r="P240" s="8" t="s">
        <v>351</v>
      </c>
      <c r="Q240" s="8">
        <v>27725.0</v>
      </c>
      <c r="R240" s="8">
        <v>28425.0</v>
      </c>
      <c r="S240" s="19">
        <v>45719.0</v>
      </c>
      <c r="T240" s="19">
        <v>45722.0</v>
      </c>
      <c r="U240" s="14">
        <v>45714.0</v>
      </c>
      <c r="V240" s="8"/>
      <c r="W240" s="8">
        <v>300.0</v>
      </c>
      <c r="X240" s="8">
        <f t="shared" si="4"/>
        <v>300</v>
      </c>
      <c r="Y240" s="8">
        <v>47.4025974</v>
      </c>
      <c r="Z240" s="17">
        <f>VLOOKUP(F240,RANGOFECHAFINAL,25,FALSE)</f>
        <v>46022</v>
      </c>
      <c r="AA240" s="8" t="s">
        <v>328</v>
      </c>
      <c r="AB240" s="8" t="s">
        <v>258</v>
      </c>
      <c r="AC240" s="8" t="s">
        <v>42</v>
      </c>
      <c r="AD240" s="7"/>
    </row>
    <row r="241">
      <c r="A241" s="7"/>
      <c r="B241" s="7" t="s">
        <v>581</v>
      </c>
      <c r="C241" s="7" t="s">
        <v>1143</v>
      </c>
      <c r="D241" s="7" t="s">
        <v>32</v>
      </c>
      <c r="E241" s="21" t="s">
        <v>520</v>
      </c>
      <c r="F241" s="8" t="s">
        <v>1144</v>
      </c>
      <c r="G241" s="9" t="s">
        <v>1145</v>
      </c>
      <c r="H241" s="8" t="s">
        <v>1146</v>
      </c>
      <c r="I241" s="24">
        <v>5.2220531E7</v>
      </c>
      <c r="J241" s="10">
        <v>9.468E7</v>
      </c>
      <c r="K241" s="11"/>
      <c r="L241" s="10">
        <f t="shared" si="1"/>
        <v>94680000</v>
      </c>
      <c r="M241" s="12">
        <f>IFERROR(__xludf.DUMMYFUNCTION("+N241/L241"),0.47555555555555556)</f>
        <v>0.4755555556</v>
      </c>
      <c r="N241" s="13">
        <v>4.50256E7</v>
      </c>
      <c r="O241" s="13">
        <f t="shared" si="2"/>
        <v>49654400</v>
      </c>
      <c r="P241" s="35" t="s">
        <v>384</v>
      </c>
      <c r="Q241" s="40">
        <v>21925.0</v>
      </c>
      <c r="R241" s="40">
        <v>22525.0</v>
      </c>
      <c r="S241" s="37">
        <v>45698.0</v>
      </c>
      <c r="T241" s="40" t="s">
        <v>587</v>
      </c>
      <c r="U241" s="37">
        <v>45716.0</v>
      </c>
      <c r="V241" s="8"/>
      <c r="W241" s="8">
        <v>88.0</v>
      </c>
      <c r="X241" s="8">
        <f t="shared" si="4"/>
        <v>88</v>
      </c>
      <c r="Y241" s="8">
        <v>59.50413223</v>
      </c>
      <c r="Z241" s="17">
        <f>VLOOKUP(F241,RANGOFECHAFINAL,25,FALSE)</f>
        <v>45958</v>
      </c>
      <c r="AA241" s="8" t="s">
        <v>375</v>
      </c>
      <c r="AB241" s="8" t="s">
        <v>106</v>
      </c>
      <c r="AC241" s="8" t="s">
        <v>42</v>
      </c>
      <c r="AD241" s="7"/>
    </row>
    <row r="242">
      <c r="A242" s="7"/>
      <c r="B242" s="7" t="s">
        <v>581</v>
      </c>
      <c r="C242" s="7" t="s">
        <v>1147</v>
      </c>
      <c r="D242" s="7" t="s">
        <v>32</v>
      </c>
      <c r="E242" s="8" t="s">
        <v>583</v>
      </c>
      <c r="F242" s="8" t="s">
        <v>1148</v>
      </c>
      <c r="G242" s="9" t="s">
        <v>1149</v>
      </c>
      <c r="H242" s="8" t="s">
        <v>1150</v>
      </c>
      <c r="I242" s="8">
        <v>1.030562466E9</v>
      </c>
      <c r="J242" s="10">
        <v>7.875E7</v>
      </c>
      <c r="K242" s="11">
        <v>-787500.0</v>
      </c>
      <c r="L242" s="10">
        <f t="shared" si="1"/>
        <v>77962500</v>
      </c>
      <c r="M242" s="12">
        <f>IFERROR(__xludf.DUMMYFUNCTION("+N242/L242"),0.3939393939393939)</f>
        <v>0.3939393939</v>
      </c>
      <c r="N242" s="13">
        <v>3.07125E7</v>
      </c>
      <c r="O242" s="13">
        <f t="shared" si="2"/>
        <v>47250000</v>
      </c>
      <c r="P242" s="8" t="s">
        <v>228</v>
      </c>
      <c r="Q242" s="36">
        <v>27825.0</v>
      </c>
      <c r="R242" s="36">
        <v>28525.0</v>
      </c>
      <c r="S242" s="43">
        <v>45719.0</v>
      </c>
      <c r="T242" s="36" t="s">
        <v>587</v>
      </c>
      <c r="U242" s="38">
        <v>45716.0</v>
      </c>
      <c r="V242" s="8"/>
      <c r="W242" s="35">
        <v>302.0</v>
      </c>
      <c r="X242" s="8">
        <f t="shared" si="4"/>
        <v>302</v>
      </c>
      <c r="Y242" s="8">
        <v>47.05882353</v>
      </c>
      <c r="Z242" s="17">
        <f>VLOOKUP(F242,RANGOFECHAFINAL,25,FALSE)</f>
        <v>46022</v>
      </c>
      <c r="AA242" s="8" t="s">
        <v>375</v>
      </c>
      <c r="AB242" s="8" t="s">
        <v>106</v>
      </c>
      <c r="AC242" s="8" t="s">
        <v>42</v>
      </c>
      <c r="AD242" s="7"/>
    </row>
    <row r="243">
      <c r="A243" s="7"/>
      <c r="B243" s="7" t="s">
        <v>581</v>
      </c>
      <c r="C243" s="7" t="s">
        <v>1151</v>
      </c>
      <c r="D243" s="7" t="s">
        <v>32</v>
      </c>
      <c r="E243" s="8" t="s">
        <v>583</v>
      </c>
      <c r="F243" s="8" t="s">
        <v>1152</v>
      </c>
      <c r="G243" s="9" t="s">
        <v>1153</v>
      </c>
      <c r="H243" s="8" t="s">
        <v>1154</v>
      </c>
      <c r="I243" s="8">
        <v>1.05377392E9</v>
      </c>
      <c r="J243" s="44">
        <v>7.2966E7</v>
      </c>
      <c r="K243" s="11">
        <v>-2188980.0</v>
      </c>
      <c r="L243" s="10">
        <f t="shared" si="1"/>
        <v>70777020</v>
      </c>
      <c r="M243" s="12">
        <f>IFERROR(__xludf.DUMMYFUNCTION("+N243/L243"),0.38144329896907214)</f>
        <v>0.381443299</v>
      </c>
      <c r="N243" s="13">
        <v>2.699742E7</v>
      </c>
      <c r="O243" s="13">
        <f t="shared" si="2"/>
        <v>43779600</v>
      </c>
      <c r="P243" s="8" t="s">
        <v>77</v>
      </c>
      <c r="Q243" s="40">
        <v>23025.0</v>
      </c>
      <c r="R243" s="40">
        <v>22825.0</v>
      </c>
      <c r="S243" s="37">
        <v>45699.0</v>
      </c>
      <c r="T243" s="40" t="s">
        <v>587</v>
      </c>
      <c r="U243" s="37">
        <v>45716.0</v>
      </c>
      <c r="V243" s="8"/>
      <c r="W243" s="8">
        <v>322.0</v>
      </c>
      <c r="X243" s="8">
        <f t="shared" si="4"/>
        <v>322</v>
      </c>
      <c r="Y243" s="8">
        <v>47.05882353</v>
      </c>
      <c r="Z243" s="17">
        <f>VLOOKUP(F243,RANGOFECHAFINAL,25,FALSE)</f>
        <v>46022</v>
      </c>
      <c r="AA243" s="8" t="s">
        <v>941</v>
      </c>
      <c r="AB243" s="8" t="s">
        <v>182</v>
      </c>
      <c r="AC243" s="8" t="s">
        <v>42</v>
      </c>
      <c r="AD243" s="7"/>
    </row>
    <row r="244">
      <c r="A244" s="7"/>
      <c r="B244" s="7" t="s">
        <v>581</v>
      </c>
      <c r="C244" s="7" t="s">
        <v>1155</v>
      </c>
      <c r="D244" s="7" t="s">
        <v>32</v>
      </c>
      <c r="E244" s="8" t="s">
        <v>583</v>
      </c>
      <c r="F244" s="8" t="s">
        <v>1156</v>
      </c>
      <c r="G244" s="9" t="s">
        <v>1157</v>
      </c>
      <c r="H244" s="8" t="s">
        <v>1158</v>
      </c>
      <c r="I244" s="24">
        <v>5.2959805E7</v>
      </c>
      <c r="J244" s="10">
        <v>7.89E7</v>
      </c>
      <c r="K244" s="11"/>
      <c r="L244" s="10">
        <f t="shared" si="1"/>
        <v>78900000</v>
      </c>
      <c r="M244" s="12">
        <f>IFERROR(__xludf.DUMMYFUNCTION("+N244/L244"),0.4755555386565273)</f>
        <v>0.4755555387</v>
      </c>
      <c r="N244" s="13">
        <v>3.7521332E7</v>
      </c>
      <c r="O244" s="13">
        <f t="shared" si="2"/>
        <v>41378668</v>
      </c>
      <c r="P244" s="8" t="s">
        <v>152</v>
      </c>
      <c r="Q244" s="40">
        <v>22925.0</v>
      </c>
      <c r="R244" s="40">
        <v>22925.0</v>
      </c>
      <c r="S244" s="37">
        <v>45699.0</v>
      </c>
      <c r="T244" s="40" t="s">
        <v>587</v>
      </c>
      <c r="U244" s="37">
        <v>45708.0</v>
      </c>
      <c r="V244" s="8"/>
      <c r="W244" s="8">
        <v>302.0</v>
      </c>
      <c r="X244" s="8">
        <f t="shared" si="4"/>
        <v>302</v>
      </c>
      <c r="Y244" s="8">
        <v>60.8</v>
      </c>
      <c r="Z244" s="17">
        <f>VLOOKUP(F244,RANGOFECHAFINAL,25,FALSE)</f>
        <v>45958</v>
      </c>
      <c r="AA244" s="8" t="s">
        <v>307</v>
      </c>
      <c r="AB244" s="8" t="s">
        <v>41</v>
      </c>
      <c r="AC244" s="8" t="s">
        <v>42</v>
      </c>
      <c r="AD244" s="7"/>
    </row>
    <row r="245">
      <c r="A245" s="7"/>
      <c r="B245" s="7" t="s">
        <v>581</v>
      </c>
      <c r="C245" s="7" t="s">
        <v>1159</v>
      </c>
      <c r="D245" s="7" t="s">
        <v>32</v>
      </c>
      <c r="E245" s="8" t="s">
        <v>583</v>
      </c>
      <c r="F245" s="8" t="s">
        <v>1160</v>
      </c>
      <c r="G245" s="9" t="s">
        <v>1161</v>
      </c>
      <c r="H245" s="8" t="s">
        <v>1162</v>
      </c>
      <c r="I245" s="8">
        <v>8.0770951E7</v>
      </c>
      <c r="J245" s="10">
        <v>6.6513333E7</v>
      </c>
      <c r="K245" s="11"/>
      <c r="L245" s="10">
        <f t="shared" si="1"/>
        <v>66513333</v>
      </c>
      <c r="M245" s="12">
        <f>IFERROR(__xludf.DUMMYFUNCTION("+N245/L245"),0.39316440509754635)</f>
        <v>0.3931644051</v>
      </c>
      <c r="N245" s="13">
        <v>2.6150675E7</v>
      </c>
      <c r="O245" s="13">
        <f t="shared" si="2"/>
        <v>40362658</v>
      </c>
      <c r="P245" s="8" t="s">
        <v>77</v>
      </c>
      <c r="Q245" s="8">
        <v>27625.0</v>
      </c>
      <c r="R245" s="8">
        <v>29425.0</v>
      </c>
      <c r="S245" s="19">
        <v>45723.0</v>
      </c>
      <c r="T245" s="19"/>
      <c r="U245" s="14">
        <v>45726.0</v>
      </c>
      <c r="V245" s="8"/>
      <c r="W245" s="8">
        <v>274.0</v>
      </c>
      <c r="X245" s="8">
        <f t="shared" si="4"/>
        <v>274</v>
      </c>
      <c r="Y245" s="8">
        <v>48.90510949</v>
      </c>
      <c r="Z245" s="17">
        <f>VLOOKUP(F245,RANGOFECHAFINAL,25,FALSE)</f>
        <v>46000</v>
      </c>
      <c r="AA245" s="8" t="s">
        <v>105</v>
      </c>
      <c r="AB245" s="8" t="s">
        <v>41</v>
      </c>
      <c r="AC245" s="8" t="s">
        <v>42</v>
      </c>
      <c r="AD245" s="7"/>
    </row>
    <row r="246">
      <c r="A246" s="7"/>
      <c r="B246" s="7" t="s">
        <v>581</v>
      </c>
      <c r="C246" s="7" t="s">
        <v>1163</v>
      </c>
      <c r="D246" s="7" t="s">
        <v>32</v>
      </c>
      <c r="E246" s="8" t="s">
        <v>854</v>
      </c>
      <c r="F246" s="8" t="s">
        <v>1164</v>
      </c>
      <c r="G246" s="9" t="s">
        <v>1165</v>
      </c>
      <c r="H246" s="8" t="s">
        <v>1166</v>
      </c>
      <c r="I246" s="24">
        <v>9.00428186E8</v>
      </c>
      <c r="J246" s="10">
        <v>7379736.0</v>
      </c>
      <c r="K246" s="11"/>
      <c r="L246" s="10">
        <f t="shared" si="1"/>
        <v>7379736</v>
      </c>
      <c r="M246" s="12">
        <f>IFERROR(__xludf.DUMMYFUNCTION("+N246/L246"),0.0)</f>
        <v>0</v>
      </c>
      <c r="N246" s="13">
        <v>0.0</v>
      </c>
      <c r="O246" s="13">
        <f t="shared" si="2"/>
        <v>7379736</v>
      </c>
      <c r="P246" s="8" t="s">
        <v>197</v>
      </c>
      <c r="Q246" s="40">
        <v>16725.0</v>
      </c>
      <c r="R246" s="40">
        <v>25125.0</v>
      </c>
      <c r="S246" s="43">
        <v>45747.0</v>
      </c>
      <c r="T246" s="43">
        <v>45742.0</v>
      </c>
      <c r="U246" s="37">
        <v>45762.0</v>
      </c>
      <c r="V246" s="8"/>
      <c r="W246" s="8">
        <v>244.0</v>
      </c>
      <c r="X246" s="8">
        <f t="shared" si="4"/>
        <v>244</v>
      </c>
      <c r="Y246" s="8">
        <v>37.69230769</v>
      </c>
      <c r="Z246" s="17">
        <f>VLOOKUP(F246,RANGOFECHAFINAL,25,FALSE)</f>
        <v>46022</v>
      </c>
      <c r="AA246" s="8" t="s">
        <v>1167</v>
      </c>
      <c r="AB246" s="8" t="s">
        <v>1168</v>
      </c>
      <c r="AC246" s="8" t="s">
        <v>42</v>
      </c>
      <c r="AD246" s="7"/>
    </row>
    <row r="247">
      <c r="A247" s="7"/>
      <c r="B247" s="7" t="s">
        <v>581</v>
      </c>
      <c r="C247" s="7" t="s">
        <v>1169</v>
      </c>
      <c r="D247" s="7" t="s">
        <v>32</v>
      </c>
      <c r="E247" s="8" t="s">
        <v>583</v>
      </c>
      <c r="F247" s="8" t="s">
        <v>1170</v>
      </c>
      <c r="G247" s="9" t="s">
        <v>1171</v>
      </c>
      <c r="H247" s="8" t="s">
        <v>1172</v>
      </c>
      <c r="I247" s="8">
        <v>1.032497761E9</v>
      </c>
      <c r="J247" s="10">
        <v>2.56E7</v>
      </c>
      <c r="K247" s="11"/>
      <c r="L247" s="10">
        <f t="shared" si="1"/>
        <v>25600000</v>
      </c>
      <c r="M247" s="12">
        <f>IFERROR(__xludf.DUMMYFUNCTION("+N247/L247"),0.4583333203125)</f>
        <v>0.4583333203</v>
      </c>
      <c r="N247" s="13">
        <v>1.1733333E7</v>
      </c>
      <c r="O247" s="13">
        <f t="shared" si="2"/>
        <v>13866667</v>
      </c>
      <c r="P247" s="8" t="s">
        <v>77</v>
      </c>
      <c r="Q247" s="8">
        <v>23725.0</v>
      </c>
      <c r="R247" s="8">
        <v>23525.0</v>
      </c>
      <c r="S247" s="14">
        <v>45700.0</v>
      </c>
      <c r="T247" s="15" t="s">
        <v>587</v>
      </c>
      <c r="U247" s="14">
        <v>45720.0</v>
      </c>
      <c r="V247" s="8"/>
      <c r="W247" s="8">
        <v>317.0</v>
      </c>
      <c r="X247" s="8">
        <f t="shared" si="4"/>
        <v>317</v>
      </c>
      <c r="Y247" s="8">
        <v>55.77689243</v>
      </c>
      <c r="Z247" s="17">
        <f>VLOOKUP(F247,RANGOFECHAFINAL,25,FALSE)</f>
        <v>45971</v>
      </c>
      <c r="AA247" s="8" t="s">
        <v>657</v>
      </c>
      <c r="AB247" s="8" t="s">
        <v>537</v>
      </c>
      <c r="AC247" s="8" t="s">
        <v>42</v>
      </c>
      <c r="AD247" s="7"/>
    </row>
    <row r="248">
      <c r="A248" s="7"/>
      <c r="B248" s="7" t="s">
        <v>581</v>
      </c>
      <c r="C248" s="7" t="s">
        <v>1173</v>
      </c>
      <c r="D248" s="7" t="s">
        <v>32</v>
      </c>
      <c r="E248" s="8" t="s">
        <v>583</v>
      </c>
      <c r="F248" s="8" t="s">
        <v>1174</v>
      </c>
      <c r="G248" s="9" t="s">
        <v>1175</v>
      </c>
      <c r="H248" s="8" t="s">
        <v>1176</v>
      </c>
      <c r="I248" s="8">
        <v>5.5249794E7</v>
      </c>
      <c r="J248" s="10">
        <v>6.3E7</v>
      </c>
      <c r="K248" s="11"/>
      <c r="L248" s="10">
        <f t="shared" si="1"/>
        <v>63000000</v>
      </c>
      <c r="M248" s="12">
        <f>IFERROR(__xludf.DUMMYFUNCTION("+N248/L248"),0.4012253968253968)</f>
        <v>0.4012253968</v>
      </c>
      <c r="N248" s="13">
        <v>2.52772E7</v>
      </c>
      <c r="O248" s="13">
        <f t="shared" si="2"/>
        <v>37722800</v>
      </c>
      <c r="P248" s="8" t="s">
        <v>91</v>
      </c>
      <c r="Q248" s="8">
        <v>22525.0</v>
      </c>
      <c r="R248" s="8">
        <v>23825.0</v>
      </c>
      <c r="S248" s="14">
        <v>45700.0</v>
      </c>
      <c r="T248" s="15" t="s">
        <v>587</v>
      </c>
      <c r="U248" s="14">
        <v>45726.0</v>
      </c>
      <c r="V248" s="8"/>
      <c r="W248" s="8">
        <v>321.0</v>
      </c>
      <c r="X248" s="8">
        <f t="shared" si="4"/>
        <v>321</v>
      </c>
      <c r="Y248" s="8">
        <v>45.42372881</v>
      </c>
      <c r="Z248" s="17">
        <f>VLOOKUP(F248,RANGOFECHAFINAL,25,FALSE)</f>
        <v>46021</v>
      </c>
      <c r="AA248" s="8" t="s">
        <v>217</v>
      </c>
      <c r="AB248" s="8" t="s">
        <v>165</v>
      </c>
      <c r="AC248" s="8" t="s">
        <v>42</v>
      </c>
      <c r="AD248" s="7"/>
    </row>
    <row r="249">
      <c r="A249" s="7"/>
      <c r="B249" s="7" t="s">
        <v>581</v>
      </c>
      <c r="C249" s="7" t="s">
        <v>1177</v>
      </c>
      <c r="D249" s="7" t="s">
        <v>32</v>
      </c>
      <c r="E249" s="8" t="s">
        <v>583</v>
      </c>
      <c r="F249" s="8" t="s">
        <v>1178</v>
      </c>
      <c r="G249" s="9" t="s">
        <v>1179</v>
      </c>
      <c r="H249" s="8" t="s">
        <v>1180</v>
      </c>
      <c r="I249" s="8">
        <v>1.013658948E9</v>
      </c>
      <c r="J249" s="10">
        <v>8.897E7</v>
      </c>
      <c r="K249" s="11"/>
      <c r="L249" s="10">
        <f t="shared" si="1"/>
        <v>88970000</v>
      </c>
      <c r="M249" s="12">
        <f>IFERROR(__xludf.DUMMYFUNCTION("+N249/L249"),0.36666666292008543)</f>
        <v>0.3666666629</v>
      </c>
      <c r="N249" s="13">
        <v>3.2622333E7</v>
      </c>
      <c r="O249" s="13">
        <f t="shared" si="2"/>
        <v>56347667</v>
      </c>
      <c r="P249" s="8" t="s">
        <v>77</v>
      </c>
      <c r="Q249" s="8">
        <v>22825.0</v>
      </c>
      <c r="R249" s="8">
        <v>23925.0</v>
      </c>
      <c r="S249" s="14">
        <v>45700.0</v>
      </c>
      <c r="T249" s="15" t="s">
        <v>587</v>
      </c>
      <c r="U249" s="14">
        <v>45730.0</v>
      </c>
      <c r="V249" s="8"/>
      <c r="W249" s="8">
        <v>321.0</v>
      </c>
      <c r="X249" s="8">
        <f t="shared" si="4"/>
        <v>321</v>
      </c>
      <c r="Y249" s="8">
        <v>44.52054795</v>
      </c>
      <c r="Z249" s="17">
        <f>VLOOKUP(F249,RANGOFECHAFINAL,25,FALSE)</f>
        <v>46022</v>
      </c>
      <c r="AA249" s="8" t="s">
        <v>217</v>
      </c>
      <c r="AB249" s="8" t="s">
        <v>165</v>
      </c>
      <c r="AC249" s="8" t="s">
        <v>42</v>
      </c>
      <c r="AD249" s="7"/>
    </row>
    <row r="250">
      <c r="A250" s="7"/>
      <c r="B250" s="7" t="s">
        <v>581</v>
      </c>
      <c r="C250" s="7" t="s">
        <v>1181</v>
      </c>
      <c r="D250" s="7" t="s">
        <v>32</v>
      </c>
      <c r="E250" s="8" t="s">
        <v>583</v>
      </c>
      <c r="F250" s="8" t="s">
        <v>1182</v>
      </c>
      <c r="G250" s="9" t="s">
        <v>1183</v>
      </c>
      <c r="H250" s="8" t="s">
        <v>1184</v>
      </c>
      <c r="I250" s="8">
        <v>4.5546877E7</v>
      </c>
      <c r="J250" s="10">
        <v>7.75718E7</v>
      </c>
      <c r="K250" s="11">
        <v>-3250000.0</v>
      </c>
      <c r="L250" s="10">
        <f t="shared" si="1"/>
        <v>74321800</v>
      </c>
      <c r="M250" s="12">
        <f>IFERROR(__xludf.DUMMYFUNCTION("+N250/L250"),0.35992131514575804)</f>
        <v>0.3599213151</v>
      </c>
      <c r="N250" s="13">
        <v>2.675E7</v>
      </c>
      <c r="O250" s="13">
        <f t="shared" si="2"/>
        <v>47571800</v>
      </c>
      <c r="P250" s="8" t="s">
        <v>98</v>
      </c>
      <c r="Q250" s="40">
        <v>25325.0</v>
      </c>
      <c r="R250" s="40">
        <v>23625.0</v>
      </c>
      <c r="S250" s="37">
        <v>45700.0</v>
      </c>
      <c r="T250" s="40" t="s">
        <v>587</v>
      </c>
      <c r="U250" s="37">
        <v>45726.0</v>
      </c>
      <c r="V250" s="8"/>
      <c r="W250" s="8">
        <v>317.0</v>
      </c>
      <c r="X250" s="8">
        <f t="shared" si="4"/>
        <v>317</v>
      </c>
      <c r="Y250" s="8">
        <v>45.27027027</v>
      </c>
      <c r="Z250" s="17">
        <f>VLOOKUP(F250,RANGOFECHAFINAL,25,FALSE)</f>
        <v>46022</v>
      </c>
      <c r="AA250" s="8" t="s">
        <v>105</v>
      </c>
      <c r="AB250" s="8" t="s">
        <v>106</v>
      </c>
      <c r="AC250" s="8" t="s">
        <v>42</v>
      </c>
      <c r="AD250" s="7"/>
    </row>
    <row r="251">
      <c r="A251" s="7"/>
      <c r="B251" s="7" t="s">
        <v>581</v>
      </c>
      <c r="C251" s="7" t="s">
        <v>1185</v>
      </c>
      <c r="D251" s="7" t="s">
        <v>32</v>
      </c>
      <c r="E251" s="8" t="s">
        <v>583</v>
      </c>
      <c r="F251" s="8" t="s">
        <v>1186</v>
      </c>
      <c r="G251" s="9" t="s">
        <v>1187</v>
      </c>
      <c r="H251" s="8" t="s">
        <v>1188</v>
      </c>
      <c r="I251" s="24" t="s">
        <v>1189</v>
      </c>
      <c r="J251" s="10">
        <v>2.48231819E8</v>
      </c>
      <c r="K251" s="11"/>
      <c r="L251" s="10">
        <f t="shared" si="1"/>
        <v>248231819</v>
      </c>
      <c r="M251" s="12">
        <f>IFERROR(__xludf.DUMMYFUNCTION("+N251/L251"),0.0)</f>
        <v>0</v>
      </c>
      <c r="N251" s="13">
        <v>0.0</v>
      </c>
      <c r="O251" s="13">
        <f t="shared" si="2"/>
        <v>248231819</v>
      </c>
      <c r="P251" s="8" t="s">
        <v>77</v>
      </c>
      <c r="Q251" s="40">
        <v>15725.0</v>
      </c>
      <c r="R251" s="40">
        <v>23225.0</v>
      </c>
      <c r="S251" s="37">
        <v>45699.0</v>
      </c>
      <c r="T251" s="43">
        <v>45761.0</v>
      </c>
      <c r="U251" s="37">
        <v>45762.0</v>
      </c>
      <c r="V251" s="8"/>
      <c r="W251" s="8">
        <v>241.0</v>
      </c>
      <c r="X251" s="8">
        <f t="shared" si="4"/>
        <v>241</v>
      </c>
      <c r="Y251" s="8">
        <v>38.43137255</v>
      </c>
      <c r="Z251" s="17">
        <f>VLOOKUP(F251,RANGOFECHAFINAL,25,FALSE)</f>
        <v>46017</v>
      </c>
      <c r="AA251" s="8" t="s">
        <v>496</v>
      </c>
      <c r="AB251" s="8" t="s">
        <v>41</v>
      </c>
      <c r="AC251" s="8" t="s">
        <v>42</v>
      </c>
      <c r="AD251" s="7"/>
    </row>
    <row r="252" hidden="1">
      <c r="A252" s="7"/>
      <c r="B252" s="7" t="s">
        <v>581</v>
      </c>
      <c r="C252" s="7" t="s">
        <v>1190</v>
      </c>
      <c r="D252" s="7" t="s">
        <v>32</v>
      </c>
      <c r="E252" s="8" t="s">
        <v>1191</v>
      </c>
      <c r="F252" s="8" t="s">
        <v>1192</v>
      </c>
      <c r="G252" s="9" t="s">
        <v>1193</v>
      </c>
      <c r="H252" s="8" t="s">
        <v>1194</v>
      </c>
      <c r="I252" s="8" t="s">
        <v>1195</v>
      </c>
      <c r="J252" s="10">
        <v>2.2E8</v>
      </c>
      <c r="K252" s="11">
        <v>1.45E7</v>
      </c>
      <c r="L252" s="10">
        <f t="shared" si="1"/>
        <v>234500000</v>
      </c>
      <c r="M252" s="12">
        <v>0.0</v>
      </c>
      <c r="N252" s="13">
        <v>0.0</v>
      </c>
      <c r="O252" s="13">
        <f t="shared" si="2"/>
        <v>234500000</v>
      </c>
      <c r="P252" s="8" t="s">
        <v>203</v>
      </c>
      <c r="Q252" s="8">
        <v>24325.0</v>
      </c>
      <c r="R252" s="8">
        <v>24025.0</v>
      </c>
      <c r="S252" s="14">
        <v>45700.0</v>
      </c>
      <c r="T252" s="15" t="s">
        <v>587</v>
      </c>
      <c r="U252" s="14">
        <v>45727.0</v>
      </c>
      <c r="V252" s="8"/>
      <c r="W252" s="8">
        <v>319.0</v>
      </c>
      <c r="X252" s="8">
        <f t="shared" si="4"/>
        <v>319</v>
      </c>
      <c r="Y252" s="8">
        <v>34.36692506</v>
      </c>
      <c r="Z252" s="18">
        <v>46114.0</v>
      </c>
      <c r="AA252" s="8" t="s">
        <v>1196</v>
      </c>
      <c r="AB252" s="8" t="s">
        <v>113</v>
      </c>
      <c r="AC252" s="8" t="s">
        <v>42</v>
      </c>
      <c r="AD252" s="7"/>
    </row>
    <row r="253">
      <c r="A253" s="7"/>
      <c r="B253" s="7" t="s">
        <v>581</v>
      </c>
      <c r="C253" s="7" t="s">
        <v>1197</v>
      </c>
      <c r="D253" s="7" t="s">
        <v>32</v>
      </c>
      <c r="E253" s="8" t="s">
        <v>583</v>
      </c>
      <c r="F253" s="8" t="s">
        <v>1198</v>
      </c>
      <c r="G253" s="9" t="s">
        <v>1199</v>
      </c>
      <c r="H253" s="8" t="s">
        <v>1200</v>
      </c>
      <c r="I253" s="8">
        <v>1.102363429E9</v>
      </c>
      <c r="J253" s="10">
        <v>8.385E7</v>
      </c>
      <c r="K253" s="11">
        <v>-553333.0</v>
      </c>
      <c r="L253" s="10">
        <f t="shared" si="1"/>
        <v>83296667</v>
      </c>
      <c r="M253" s="12">
        <f>IFERROR(__xludf.DUMMYFUNCTION("+N253/L253"),0.3638015552290946)</f>
        <v>0.3638015552</v>
      </c>
      <c r="N253" s="13">
        <v>3.0303457E7</v>
      </c>
      <c r="O253" s="13">
        <f t="shared" si="2"/>
        <v>52993210</v>
      </c>
      <c r="P253" s="8" t="s">
        <v>1201</v>
      </c>
      <c r="Q253" s="8">
        <v>24125.0</v>
      </c>
      <c r="R253" s="8">
        <v>24725.0</v>
      </c>
      <c r="S253" s="14">
        <v>45701.0</v>
      </c>
      <c r="T253" s="15" t="s">
        <v>587</v>
      </c>
      <c r="U253" s="14">
        <v>45727.0</v>
      </c>
      <c r="V253" s="8"/>
      <c r="W253" s="8">
        <v>317.0</v>
      </c>
      <c r="X253" s="8">
        <f t="shared" si="4"/>
        <v>317</v>
      </c>
      <c r="Y253" s="8">
        <v>45.08474576</v>
      </c>
      <c r="Z253" s="17">
        <f>VLOOKUP(F253,RANGOFECHAFINAL,25,FALSE)</f>
        <v>46022</v>
      </c>
      <c r="AA253" s="8" t="s">
        <v>1202</v>
      </c>
      <c r="AB253" s="8" t="s">
        <v>390</v>
      </c>
      <c r="AC253" s="8" t="s">
        <v>42</v>
      </c>
      <c r="AD253" s="7"/>
    </row>
    <row r="254">
      <c r="A254" s="7"/>
      <c r="B254" s="7" t="s">
        <v>581</v>
      </c>
      <c r="C254" s="7" t="s">
        <v>1203</v>
      </c>
      <c r="D254" s="7" t="s">
        <v>32</v>
      </c>
      <c r="E254" s="8" t="s">
        <v>583</v>
      </c>
      <c r="F254" s="8" t="s">
        <v>1204</v>
      </c>
      <c r="G254" s="9" t="s">
        <v>1205</v>
      </c>
      <c r="H254" s="8" t="s">
        <v>1206</v>
      </c>
      <c r="I254" s="8">
        <v>8.60066942E8</v>
      </c>
      <c r="J254" s="10">
        <v>2.63E8</v>
      </c>
      <c r="K254" s="11"/>
      <c r="L254" s="10">
        <f t="shared" si="1"/>
        <v>263000000</v>
      </c>
      <c r="M254" s="12">
        <f>IFERROR(__xludf.DUMMYFUNCTION("+N254/L254"),0.002680577946768061)</f>
        <v>0.002680577947</v>
      </c>
      <c r="N254" s="13">
        <v>704992.0</v>
      </c>
      <c r="O254" s="13">
        <f t="shared" si="2"/>
        <v>262295008</v>
      </c>
      <c r="P254" s="8" t="s">
        <v>367</v>
      </c>
      <c r="Q254" s="40">
        <v>25625.0</v>
      </c>
      <c r="R254" s="40">
        <v>24125.0</v>
      </c>
      <c r="S254" s="37">
        <v>45743.0</v>
      </c>
      <c r="T254" s="43">
        <v>45750.0</v>
      </c>
      <c r="U254" s="37">
        <v>45751.0</v>
      </c>
      <c r="V254" s="8"/>
      <c r="W254" s="8">
        <v>317.0</v>
      </c>
      <c r="X254" s="8">
        <f t="shared" si="4"/>
        <v>317</v>
      </c>
      <c r="Y254" s="8">
        <v>41.44486692</v>
      </c>
      <c r="Z254" s="17">
        <f>VLOOKUP(F254,RANGOFECHAFINAL,25,FALSE)</f>
        <v>46014</v>
      </c>
      <c r="AA254" s="8" t="s">
        <v>1207</v>
      </c>
      <c r="AB254" s="8" t="s">
        <v>223</v>
      </c>
      <c r="AC254" s="8" t="s">
        <v>42</v>
      </c>
      <c r="AD254" s="7"/>
    </row>
    <row r="255" hidden="1">
      <c r="A255" s="7"/>
      <c r="B255" s="7" t="s">
        <v>581</v>
      </c>
      <c r="C255" s="7" t="s">
        <v>1208</v>
      </c>
      <c r="D255" s="7" t="s">
        <v>32</v>
      </c>
      <c r="E255" s="8" t="s">
        <v>81</v>
      </c>
      <c r="F255" s="8" t="s">
        <v>1209</v>
      </c>
      <c r="G255" s="9" t="s">
        <v>1210</v>
      </c>
      <c r="H255" s="8" t="s">
        <v>1211</v>
      </c>
      <c r="I255" s="8">
        <v>9.00590424E8</v>
      </c>
      <c r="J255" s="10">
        <v>1.99614472E8</v>
      </c>
      <c r="K255" s="11"/>
      <c r="L255" s="10">
        <f t="shared" si="1"/>
        <v>199614472</v>
      </c>
      <c r="M255" s="12">
        <f>IFERROR(__xludf.DUMMYFUNCTION("+N255/L255"),0.0)</f>
        <v>0</v>
      </c>
      <c r="N255" s="13">
        <v>0.0</v>
      </c>
      <c r="O255" s="13">
        <f t="shared" si="2"/>
        <v>199614472</v>
      </c>
      <c r="P255" s="8" t="s">
        <v>91</v>
      </c>
      <c r="Q255" s="40">
        <v>25025.0</v>
      </c>
      <c r="R255" s="40">
        <v>24425.0</v>
      </c>
      <c r="S255" s="37">
        <v>45742.0</v>
      </c>
      <c r="T255" s="43">
        <v>45743.0</v>
      </c>
      <c r="U255" s="37">
        <v>45775.0</v>
      </c>
      <c r="V255" s="8"/>
      <c r="W255" s="8">
        <v>320.0</v>
      </c>
      <c r="X255" s="8">
        <f t="shared" si="4"/>
        <v>320</v>
      </c>
      <c r="Y255" s="8">
        <v>23.35164835</v>
      </c>
      <c r="Z255" s="17">
        <f>VLOOKUP(F255,RANGOFECHAFINAL,25,FALSE)</f>
        <v>46139</v>
      </c>
      <c r="AA255" s="8" t="s">
        <v>874</v>
      </c>
      <c r="AB255" s="8" t="s">
        <v>165</v>
      </c>
      <c r="AC255" s="8" t="s">
        <v>42</v>
      </c>
      <c r="AD255" s="7"/>
    </row>
    <row r="256">
      <c r="A256" s="7"/>
      <c r="B256" s="7" t="s">
        <v>581</v>
      </c>
      <c r="C256" s="7" t="s">
        <v>1212</v>
      </c>
      <c r="D256" s="7" t="s">
        <v>32</v>
      </c>
      <c r="E256" s="8" t="s">
        <v>583</v>
      </c>
      <c r="F256" s="8" t="s">
        <v>1213</v>
      </c>
      <c r="G256" s="9" t="s">
        <v>1214</v>
      </c>
      <c r="H256" s="8" t="s">
        <v>1215</v>
      </c>
      <c r="I256" s="8">
        <v>1.144139462E9</v>
      </c>
      <c r="J256" s="10">
        <v>2.0664606E7</v>
      </c>
      <c r="K256" s="11"/>
      <c r="L256" s="10">
        <f t="shared" si="1"/>
        <v>20664606</v>
      </c>
      <c r="M256" s="12">
        <f>IFERROR(__xludf.DUMMYFUNCTION("+N256/L256"),0.5908762547904374)</f>
        <v>0.5908762548</v>
      </c>
      <c r="N256" s="13">
        <v>1.2210225E7</v>
      </c>
      <c r="O256" s="13">
        <f t="shared" si="2"/>
        <v>8454381</v>
      </c>
      <c r="P256" s="8" t="s">
        <v>91</v>
      </c>
      <c r="Q256" s="40">
        <v>24925.0</v>
      </c>
      <c r="R256" s="40">
        <v>24525.0</v>
      </c>
      <c r="S256" s="37">
        <v>45701.0</v>
      </c>
      <c r="T256" s="40" t="s">
        <v>587</v>
      </c>
      <c r="U256" s="37">
        <v>45743.0</v>
      </c>
      <c r="V256" s="8"/>
      <c r="W256" s="35">
        <v>317.0</v>
      </c>
      <c r="X256" s="8">
        <f t="shared" si="4"/>
        <v>317</v>
      </c>
      <c r="Y256" s="8">
        <v>75.0</v>
      </c>
      <c r="Z256" s="17">
        <f>VLOOKUP(F256,RANGOFECHAFINAL,25,FALSE)</f>
        <v>45899</v>
      </c>
      <c r="AA256" s="8" t="s">
        <v>289</v>
      </c>
      <c r="AB256" s="8" t="s">
        <v>165</v>
      </c>
      <c r="AC256" s="8" t="s">
        <v>42</v>
      </c>
      <c r="AD256" s="7"/>
    </row>
    <row r="257">
      <c r="A257" s="7"/>
      <c r="B257" s="7" t="s">
        <v>581</v>
      </c>
      <c r="C257" s="7" t="s">
        <v>1216</v>
      </c>
      <c r="D257" s="7" t="s">
        <v>32</v>
      </c>
      <c r="E257" s="8" t="s">
        <v>583</v>
      </c>
      <c r="F257" s="8" t="s">
        <v>1217</v>
      </c>
      <c r="G257" s="9" t="s">
        <v>1218</v>
      </c>
      <c r="H257" s="8" t="s">
        <v>1219</v>
      </c>
      <c r="I257" s="24">
        <v>1.019060968E9</v>
      </c>
      <c r="J257" s="10">
        <v>3.0116625E7</v>
      </c>
      <c r="K257" s="11">
        <v>-547575.0</v>
      </c>
      <c r="L257" s="10">
        <f t="shared" si="1"/>
        <v>29569050</v>
      </c>
      <c r="M257" s="12">
        <f>IFERROR(__xludf.DUMMYFUNCTION("+N257/L257"),0.3333333333333333)</f>
        <v>0.3333333333</v>
      </c>
      <c r="N257" s="13">
        <v>9856350.0</v>
      </c>
      <c r="O257" s="13">
        <f t="shared" si="2"/>
        <v>19712700</v>
      </c>
      <c r="P257" s="8" t="s">
        <v>91</v>
      </c>
      <c r="Q257" s="8">
        <v>24225.0</v>
      </c>
      <c r="R257" s="8">
        <v>24325.0</v>
      </c>
      <c r="S257" s="14">
        <v>45701.0</v>
      </c>
      <c r="T257" s="15" t="s">
        <v>587</v>
      </c>
      <c r="U257" s="14">
        <v>45750.0</v>
      </c>
      <c r="V257" s="8"/>
      <c r="W257" s="8">
        <v>319.0</v>
      </c>
      <c r="X257" s="8">
        <f t="shared" si="4"/>
        <v>319</v>
      </c>
      <c r="Y257" s="8">
        <v>40.44117647</v>
      </c>
      <c r="Z257" s="17">
        <f>VLOOKUP(F257,RANGOFECHAFINAL,25,FALSE)</f>
        <v>46022</v>
      </c>
      <c r="AA257" s="8" t="s">
        <v>170</v>
      </c>
      <c r="AB257" s="8" t="s">
        <v>165</v>
      </c>
      <c r="AC257" s="8" t="s">
        <v>42</v>
      </c>
      <c r="AD257" s="7"/>
    </row>
    <row r="258">
      <c r="A258" s="7"/>
      <c r="B258" s="7" t="s">
        <v>581</v>
      </c>
      <c r="C258" s="7" t="s">
        <v>1220</v>
      </c>
      <c r="D258" s="7" t="s">
        <v>32</v>
      </c>
      <c r="E258" s="21" t="s">
        <v>854</v>
      </c>
      <c r="F258" s="8" t="s">
        <v>1221</v>
      </c>
      <c r="G258" s="9" t="s">
        <v>1222</v>
      </c>
      <c r="H258" s="8" t="s">
        <v>1223</v>
      </c>
      <c r="I258" s="8" t="s">
        <v>1224</v>
      </c>
      <c r="J258" s="10">
        <v>4.7619375E8</v>
      </c>
      <c r="K258" s="11"/>
      <c r="L258" s="10">
        <f t="shared" si="1"/>
        <v>476193750</v>
      </c>
      <c r="M258" s="12">
        <f>IFERROR(__xludf.DUMMYFUNCTION("+N258/L258"),0.8609940806656954)</f>
        <v>0.8609940807</v>
      </c>
      <c r="N258" s="13">
        <v>4.1E8</v>
      </c>
      <c r="O258" s="13">
        <f t="shared" si="2"/>
        <v>66193750</v>
      </c>
      <c r="P258" s="8" t="s">
        <v>77</v>
      </c>
      <c r="Q258" s="40">
        <v>24425.0</v>
      </c>
      <c r="R258" s="40">
        <v>24825.0</v>
      </c>
      <c r="S258" s="37">
        <v>45702.0</v>
      </c>
      <c r="T258" s="40" t="s">
        <v>587</v>
      </c>
      <c r="U258" s="37">
        <v>45734.0</v>
      </c>
      <c r="V258" s="8"/>
      <c r="W258" s="8">
        <v>241.0</v>
      </c>
      <c r="X258" s="8">
        <f t="shared" si="4"/>
        <v>241</v>
      </c>
      <c r="Y258" s="8">
        <v>33.42175066</v>
      </c>
      <c r="Z258" s="17">
        <f>VLOOKUP(F258,RANGOFECHAFINAL,25,FALSE)</f>
        <v>46111</v>
      </c>
      <c r="AA258" s="8" t="s">
        <v>1225</v>
      </c>
      <c r="AB258" s="8" t="s">
        <v>193</v>
      </c>
      <c r="AC258" s="8" t="s">
        <v>42</v>
      </c>
      <c r="AD258" s="7"/>
    </row>
    <row r="259" hidden="1">
      <c r="A259" s="7"/>
      <c r="B259" s="7" t="s">
        <v>581</v>
      </c>
      <c r="C259" s="7" t="s">
        <v>1226</v>
      </c>
      <c r="D259" s="7" t="s">
        <v>32</v>
      </c>
      <c r="E259" s="8" t="s">
        <v>1227</v>
      </c>
      <c r="F259" s="8" t="s">
        <v>1228</v>
      </c>
      <c r="G259" s="9" t="s">
        <v>1229</v>
      </c>
      <c r="H259" s="8" t="s">
        <v>1230</v>
      </c>
      <c r="I259" s="8" t="s">
        <v>1231</v>
      </c>
      <c r="J259" s="10">
        <v>1.86244E7</v>
      </c>
      <c r="K259" s="11"/>
      <c r="L259" s="10">
        <f t="shared" si="1"/>
        <v>18624400</v>
      </c>
      <c r="M259" s="12">
        <f>IFERROR(__xludf.DUMMYFUNCTION("+N259/L259"),0.7288288481776594)</f>
        <v>0.7288288482</v>
      </c>
      <c r="N259" s="13">
        <v>1.3574E7</v>
      </c>
      <c r="O259" s="13">
        <f t="shared" si="2"/>
        <v>5050400</v>
      </c>
      <c r="P259" s="8" t="s">
        <v>77</v>
      </c>
      <c r="Q259" s="40">
        <v>24525.0</v>
      </c>
      <c r="R259" s="40">
        <v>25225.0</v>
      </c>
      <c r="S259" s="37">
        <v>45705.0</v>
      </c>
      <c r="T259" s="40" t="s">
        <v>587</v>
      </c>
      <c r="U259" s="37">
        <v>45751.0</v>
      </c>
      <c r="V259" s="8"/>
      <c r="W259" s="8">
        <v>241.0</v>
      </c>
      <c r="X259" s="8">
        <f t="shared" si="4"/>
        <v>241</v>
      </c>
      <c r="Y259" s="8">
        <v>40.22140221</v>
      </c>
      <c r="Z259" s="17">
        <f>VLOOKUP(F259,RANGOFECHAFINAL,25,FALSE)</f>
        <v>46022</v>
      </c>
      <c r="AA259" s="8" t="s">
        <v>1232</v>
      </c>
      <c r="AB259" s="8" t="s">
        <v>176</v>
      </c>
      <c r="AC259" s="8" t="s">
        <v>42</v>
      </c>
      <c r="AD259" s="7"/>
    </row>
    <row r="260" hidden="1">
      <c r="A260" s="7"/>
      <c r="B260" s="7" t="s">
        <v>1133</v>
      </c>
      <c r="C260" s="7" t="s">
        <v>1233</v>
      </c>
      <c r="D260" s="7" t="s">
        <v>32</v>
      </c>
      <c r="E260" s="8" t="s">
        <v>1133</v>
      </c>
      <c r="F260" s="8" t="s">
        <v>1234</v>
      </c>
      <c r="G260" s="9" t="s">
        <v>1235</v>
      </c>
      <c r="H260" s="8" t="s">
        <v>1236</v>
      </c>
      <c r="I260" s="24">
        <v>8.99999022E8</v>
      </c>
      <c r="J260" s="10">
        <v>0.0</v>
      </c>
      <c r="K260" s="11"/>
      <c r="L260" s="10">
        <f t="shared" si="1"/>
        <v>0</v>
      </c>
      <c r="M260" s="12">
        <v>0.0</v>
      </c>
      <c r="N260" s="13">
        <v>0.0</v>
      </c>
      <c r="O260" s="13">
        <f t="shared" si="2"/>
        <v>0</v>
      </c>
      <c r="P260" s="8" t="s">
        <v>91</v>
      </c>
      <c r="Q260" s="40">
        <v>26025.0</v>
      </c>
      <c r="R260" s="40">
        <v>24625.0</v>
      </c>
      <c r="S260" s="37">
        <v>45701.0</v>
      </c>
      <c r="T260" s="40" t="s">
        <v>587</v>
      </c>
      <c r="U260" s="37">
        <v>45744.0</v>
      </c>
      <c r="V260" s="8"/>
      <c r="W260" s="8">
        <v>319.0</v>
      </c>
      <c r="X260" s="8">
        <f t="shared" si="4"/>
        <v>319</v>
      </c>
      <c r="Y260" s="8">
        <v>18.04043546</v>
      </c>
      <c r="Z260" s="17">
        <f>VLOOKUP(F260,RANGOFECHAFINAL,25,FALSE)</f>
        <v>46387</v>
      </c>
      <c r="AA260" s="8" t="s">
        <v>217</v>
      </c>
      <c r="AB260" s="8" t="s">
        <v>165</v>
      </c>
      <c r="AC260" s="8" t="s">
        <v>42</v>
      </c>
      <c r="AD260" s="7"/>
    </row>
    <row r="261" hidden="1">
      <c r="A261" s="7"/>
      <c r="B261" s="7" t="s">
        <v>581</v>
      </c>
      <c r="C261" s="7" t="s">
        <v>1237</v>
      </c>
      <c r="D261" s="7" t="s">
        <v>32</v>
      </c>
      <c r="E261" s="8" t="s">
        <v>1238</v>
      </c>
      <c r="F261" s="8" t="s">
        <v>1239</v>
      </c>
      <c r="G261" s="9" t="s">
        <v>1240</v>
      </c>
      <c r="H261" s="8" t="s">
        <v>1241</v>
      </c>
      <c r="I261" s="24" t="s">
        <v>1242</v>
      </c>
      <c r="J261" s="10">
        <v>3.0E8</v>
      </c>
      <c r="K261" s="11"/>
      <c r="L261" s="10">
        <f t="shared" si="1"/>
        <v>300000000</v>
      </c>
      <c r="M261" s="12">
        <f>IFERROR(__xludf.DUMMYFUNCTION("+N261/L261"),0.3)</f>
        <v>0.3</v>
      </c>
      <c r="N261" s="13">
        <v>9.0E7</v>
      </c>
      <c r="O261" s="13">
        <f t="shared" si="2"/>
        <v>210000000</v>
      </c>
      <c r="P261" s="8" t="s">
        <v>730</v>
      </c>
      <c r="Q261" s="40">
        <v>30125.0</v>
      </c>
      <c r="R261" s="40">
        <v>37125.0</v>
      </c>
      <c r="S261" s="43">
        <v>45771.0</v>
      </c>
      <c r="T261" s="43">
        <v>45772.0</v>
      </c>
      <c r="U261" s="37">
        <v>45775.0</v>
      </c>
      <c r="V261" s="8"/>
      <c r="W261" s="8">
        <v>210.0</v>
      </c>
      <c r="X261" s="8">
        <f t="shared" si="4"/>
        <v>210</v>
      </c>
      <c r="Y261" s="8">
        <v>39.90610329</v>
      </c>
      <c r="Z261" s="17">
        <f>VLOOKUP(F261,RANGOFECHAFINAL,25,FALSE)</f>
        <v>45988</v>
      </c>
      <c r="AA261" s="8" t="s">
        <v>1243</v>
      </c>
      <c r="AB261" s="8" t="s">
        <v>1244</v>
      </c>
      <c r="AC261" s="8" t="s">
        <v>42</v>
      </c>
      <c r="AD261" s="7"/>
    </row>
    <row r="262">
      <c r="A262" s="7"/>
      <c r="B262" s="7" t="s">
        <v>581</v>
      </c>
      <c r="C262" s="7" t="s">
        <v>1245</v>
      </c>
      <c r="D262" s="7" t="s">
        <v>32</v>
      </c>
      <c r="E262" s="21" t="s">
        <v>854</v>
      </c>
      <c r="F262" s="8" t="s">
        <v>1246</v>
      </c>
      <c r="G262" s="9" t="s">
        <v>1247</v>
      </c>
      <c r="H262" s="8" t="s">
        <v>1248</v>
      </c>
      <c r="I262" s="24" t="s">
        <v>1249</v>
      </c>
      <c r="J262" s="10">
        <v>1.99832164E8</v>
      </c>
      <c r="K262" s="11"/>
      <c r="L262" s="10">
        <f t="shared" si="1"/>
        <v>199832164</v>
      </c>
      <c r="M262" s="12">
        <f>IFERROR(__xludf.DUMMYFUNCTION("+N262/L262"),0.0)</f>
        <v>0</v>
      </c>
      <c r="N262" s="13">
        <v>0.0</v>
      </c>
      <c r="O262" s="13">
        <f t="shared" si="2"/>
        <v>199832164</v>
      </c>
      <c r="P262" s="8" t="s">
        <v>77</v>
      </c>
      <c r="Q262" s="40">
        <v>24825.0</v>
      </c>
      <c r="R262" s="32">
        <v>26525.0</v>
      </c>
      <c r="S262" s="37">
        <v>45749.0</v>
      </c>
      <c r="T262" s="45">
        <v>45754.0</v>
      </c>
      <c r="U262" s="43">
        <v>45755.0</v>
      </c>
      <c r="V262" s="8"/>
      <c r="W262" s="8">
        <v>241.0</v>
      </c>
      <c r="X262" s="8">
        <f t="shared" si="4"/>
        <v>241</v>
      </c>
      <c r="Y262" s="8">
        <v>28.84615385</v>
      </c>
      <c r="Z262" s="17">
        <f>VLOOKUP(F262,RANGOFECHAFINAL,25,FALSE)</f>
        <v>46119</v>
      </c>
      <c r="AA262" s="8" t="s">
        <v>337</v>
      </c>
      <c r="AB262" s="8" t="s">
        <v>193</v>
      </c>
      <c r="AC262" s="8" t="s">
        <v>42</v>
      </c>
      <c r="AD262" s="7"/>
    </row>
    <row r="263">
      <c r="A263" s="7"/>
      <c r="B263" s="7" t="s">
        <v>581</v>
      </c>
      <c r="C263" s="7" t="s">
        <v>1250</v>
      </c>
      <c r="D263" s="7" t="s">
        <v>32</v>
      </c>
      <c r="E263" s="8" t="s">
        <v>583</v>
      </c>
      <c r="F263" s="8" t="s">
        <v>1251</v>
      </c>
      <c r="G263" s="9" t="s">
        <v>1252</v>
      </c>
      <c r="H263" s="8" t="s">
        <v>1253</v>
      </c>
      <c r="I263" s="24">
        <v>7.9950225E7</v>
      </c>
      <c r="J263" s="10">
        <v>4.2E7</v>
      </c>
      <c r="K263" s="11"/>
      <c r="L263" s="10">
        <f t="shared" si="1"/>
        <v>42000000</v>
      </c>
      <c r="M263" s="12">
        <f>IFERROR(__xludf.DUMMYFUNCTION("+N263/L263"),0.3277777619047619)</f>
        <v>0.3277777619</v>
      </c>
      <c r="N263" s="13">
        <v>1.3766666E7</v>
      </c>
      <c r="O263" s="13">
        <f t="shared" si="2"/>
        <v>28233334</v>
      </c>
      <c r="P263" s="8" t="s">
        <v>77</v>
      </c>
      <c r="Q263" s="40">
        <v>24725.0</v>
      </c>
      <c r="R263" s="32">
        <v>27025.0</v>
      </c>
      <c r="S263" s="37">
        <v>45712.0</v>
      </c>
      <c r="T263" s="32"/>
      <c r="U263" s="43">
        <v>45748.0</v>
      </c>
      <c r="V263" s="8"/>
      <c r="W263" s="8">
        <v>309.0</v>
      </c>
      <c r="X263" s="8">
        <f t="shared" si="4"/>
        <v>309</v>
      </c>
      <c r="Y263" s="8">
        <v>61.20218579</v>
      </c>
      <c r="Z263" s="17">
        <f>VLOOKUP(F263,RANGOFECHAFINAL,25,FALSE)</f>
        <v>45931</v>
      </c>
      <c r="AA263" s="8" t="s">
        <v>105</v>
      </c>
      <c r="AB263" s="8" t="s">
        <v>106</v>
      </c>
      <c r="AC263" s="8" t="s">
        <v>42</v>
      </c>
      <c r="AD263" s="7"/>
    </row>
    <row r="264">
      <c r="A264" s="7"/>
      <c r="B264" s="7" t="s">
        <v>581</v>
      </c>
      <c r="C264" s="7" t="s">
        <v>1254</v>
      </c>
      <c r="D264" s="7" t="s">
        <v>32</v>
      </c>
      <c r="E264" s="8" t="s">
        <v>583</v>
      </c>
      <c r="F264" s="8" t="s">
        <v>1255</v>
      </c>
      <c r="G264" s="9" t="s">
        <v>1256</v>
      </c>
      <c r="H264" s="8" t="s">
        <v>1257</v>
      </c>
      <c r="I264" s="8">
        <v>1.032359288E9</v>
      </c>
      <c r="J264" s="10">
        <v>3.6212734E7</v>
      </c>
      <c r="K264" s="11"/>
      <c r="L264" s="10">
        <f t="shared" si="1"/>
        <v>36212734</v>
      </c>
      <c r="M264" s="12">
        <f>IFERROR(__xludf.DUMMYFUNCTION("+N264/L264"),0.4162679349203515)</f>
        <v>0.4162679349</v>
      </c>
      <c r="N264" s="13">
        <v>1.50742E7</v>
      </c>
      <c r="O264" s="13">
        <f t="shared" si="2"/>
        <v>21138534</v>
      </c>
      <c r="P264" s="8" t="s">
        <v>77</v>
      </c>
      <c r="Q264" s="40">
        <v>24625.0</v>
      </c>
      <c r="R264" s="32">
        <v>26925.0</v>
      </c>
      <c r="S264" s="46">
        <v>45709.0</v>
      </c>
      <c r="T264" s="32" t="s">
        <v>587</v>
      </c>
      <c r="U264" s="45">
        <v>45744.0</v>
      </c>
      <c r="V264" s="8"/>
      <c r="W264" s="8">
        <v>275.0</v>
      </c>
      <c r="X264" s="8">
        <f t="shared" si="4"/>
        <v>275</v>
      </c>
      <c r="Y264" s="8">
        <v>52.96803653</v>
      </c>
      <c r="Z264" s="17">
        <f>VLOOKUP(F264,RANGOFECHAFINAL,25,FALSE)</f>
        <v>45963</v>
      </c>
      <c r="AA264" s="8" t="s">
        <v>105</v>
      </c>
      <c r="AB264" s="8" t="s">
        <v>106</v>
      </c>
      <c r="AC264" s="8" t="s">
        <v>42</v>
      </c>
      <c r="AD264" s="7"/>
    </row>
    <row r="265">
      <c r="A265" s="7"/>
      <c r="B265" s="7" t="s">
        <v>581</v>
      </c>
      <c r="C265" s="7" t="s">
        <v>1258</v>
      </c>
      <c r="D265" s="7" t="s">
        <v>32</v>
      </c>
      <c r="E265" s="8" t="s">
        <v>583</v>
      </c>
      <c r="F265" s="8" t="s">
        <v>1259</v>
      </c>
      <c r="G265" s="9" t="s">
        <v>1260</v>
      </c>
      <c r="H265" s="8" t="s">
        <v>1261</v>
      </c>
      <c r="I265" s="8">
        <v>1.088259482E9</v>
      </c>
      <c r="J265" s="10">
        <v>3.427648E7</v>
      </c>
      <c r="K265" s="11"/>
      <c r="L265" s="10">
        <f t="shared" si="1"/>
        <v>34276480</v>
      </c>
      <c r="M265" s="12">
        <f>IFERROR(__xludf.DUMMYFUNCTION("+N265/L265"),0.36607142857142855)</f>
        <v>0.3660714286</v>
      </c>
      <c r="N265" s="13">
        <v>1.254764E7</v>
      </c>
      <c r="O265" s="13">
        <f t="shared" si="2"/>
        <v>21728840</v>
      </c>
      <c r="P265" s="8" t="s">
        <v>917</v>
      </c>
      <c r="Q265" s="8">
        <v>22325.0</v>
      </c>
      <c r="R265" s="8">
        <v>26425.0</v>
      </c>
      <c r="S265" s="14">
        <v>45755.0</v>
      </c>
      <c r="T265" s="15" t="s">
        <v>1262</v>
      </c>
      <c r="U265" s="14">
        <v>45756.0</v>
      </c>
      <c r="V265" s="8"/>
      <c r="W265" s="8">
        <v>88.0</v>
      </c>
      <c r="X265" s="8">
        <f t="shared" si="4"/>
        <v>88</v>
      </c>
      <c r="Y265" s="8">
        <v>45.81497797</v>
      </c>
      <c r="Z265" s="17">
        <f>VLOOKUP(F265,RANGOFECHAFINAL,25,FALSE)</f>
        <v>45983</v>
      </c>
      <c r="AA265" s="8" t="s">
        <v>105</v>
      </c>
      <c r="AB265" s="8" t="s">
        <v>106</v>
      </c>
      <c r="AC265" s="8" t="s">
        <v>42</v>
      </c>
      <c r="AD265" s="7"/>
    </row>
    <row r="266">
      <c r="A266" s="7"/>
      <c r="B266" s="7" t="s">
        <v>581</v>
      </c>
      <c r="C266" s="7" t="s">
        <v>1263</v>
      </c>
      <c r="D266" s="7" t="s">
        <v>32</v>
      </c>
      <c r="E266" s="8" t="s">
        <v>1030</v>
      </c>
      <c r="F266" s="8" t="s">
        <v>1264</v>
      </c>
      <c r="G266" s="9" t="s">
        <v>1265</v>
      </c>
      <c r="H266" s="8" t="s">
        <v>1266</v>
      </c>
      <c r="I266" s="35" t="s">
        <v>1267</v>
      </c>
      <c r="J266" s="10">
        <v>2.0709981E7</v>
      </c>
      <c r="K266" s="11"/>
      <c r="L266" s="10">
        <f t="shared" si="1"/>
        <v>20709981</v>
      </c>
      <c r="M266" s="12">
        <f>IFERROR(__xludf.DUMMYFUNCTION("+N266/L266"),0.2880825433881373)</f>
        <v>0.2880825434</v>
      </c>
      <c r="N266" s="13">
        <v>5966184.0</v>
      </c>
      <c r="O266" s="13">
        <f t="shared" si="2"/>
        <v>14743797</v>
      </c>
      <c r="P266" s="35" t="s">
        <v>1108</v>
      </c>
      <c r="Q266" s="40">
        <v>25425.0</v>
      </c>
      <c r="R266" s="40">
        <v>26825.0</v>
      </c>
      <c r="S266" s="37">
        <v>45756.0</v>
      </c>
      <c r="T266" s="43">
        <v>45768.0</v>
      </c>
      <c r="U266" s="37">
        <v>45769.0</v>
      </c>
      <c r="V266" s="8"/>
      <c r="W266" s="8">
        <v>302.0</v>
      </c>
      <c r="X266" s="8">
        <f t="shared" si="4"/>
        <v>302</v>
      </c>
      <c r="Y266" s="8">
        <v>38.39662447</v>
      </c>
      <c r="Z266" s="17">
        <f>VLOOKUP(F266,RANGOFECHAFINAL,25,FALSE)</f>
        <v>46006</v>
      </c>
      <c r="AA266" s="8" t="s">
        <v>1268</v>
      </c>
      <c r="AB266" s="8" t="s">
        <v>667</v>
      </c>
      <c r="AC266" s="8" t="s">
        <v>42</v>
      </c>
      <c r="AD266" s="7"/>
    </row>
    <row r="267">
      <c r="A267" s="7"/>
      <c r="B267" s="7" t="s">
        <v>581</v>
      </c>
      <c r="C267" s="7" t="s">
        <v>1269</v>
      </c>
      <c r="D267" s="7" t="s">
        <v>32</v>
      </c>
      <c r="E267" s="8" t="s">
        <v>583</v>
      </c>
      <c r="F267" s="8" t="s">
        <v>1270</v>
      </c>
      <c r="G267" s="9" t="s">
        <v>1271</v>
      </c>
      <c r="H267" s="8" t="s">
        <v>1272</v>
      </c>
      <c r="I267" s="8">
        <v>1.088304014E9</v>
      </c>
      <c r="J267" s="10">
        <v>3.75799E7</v>
      </c>
      <c r="K267" s="11"/>
      <c r="L267" s="10">
        <f t="shared" si="1"/>
        <v>37579900</v>
      </c>
      <c r="M267" s="12">
        <f>IFERROR(__xludf.DUMMYFUNCTION("+N267/L267"),0.3547995870132704)</f>
        <v>0.354799587</v>
      </c>
      <c r="N267" s="13">
        <v>1.3333333E7</v>
      </c>
      <c r="O267" s="13">
        <f t="shared" si="2"/>
        <v>24246567</v>
      </c>
      <c r="P267" s="8" t="s">
        <v>111</v>
      </c>
      <c r="Q267" s="40">
        <v>26425.0</v>
      </c>
      <c r="R267" s="40">
        <v>27925.0</v>
      </c>
      <c r="S267" s="37">
        <v>45715.0</v>
      </c>
      <c r="T267" s="40" t="s">
        <v>587</v>
      </c>
      <c r="U267" s="37">
        <v>45755.0</v>
      </c>
      <c r="V267" s="8"/>
      <c r="W267" s="35">
        <v>88.0</v>
      </c>
      <c r="X267" s="8">
        <f t="shared" si="4"/>
        <v>88</v>
      </c>
      <c r="Y267" s="8">
        <v>48.61111111</v>
      </c>
      <c r="Z267" s="17">
        <f>VLOOKUP(F267,RANGOFECHAFINAL,25,FALSE)</f>
        <v>45971</v>
      </c>
      <c r="AA267" s="8" t="s">
        <v>433</v>
      </c>
      <c r="AB267" s="8" t="s">
        <v>106</v>
      </c>
      <c r="AC267" s="8" t="s">
        <v>42</v>
      </c>
      <c r="AD267" s="7"/>
    </row>
    <row r="268" hidden="1">
      <c r="A268" s="7"/>
      <c r="B268" s="7" t="s">
        <v>581</v>
      </c>
      <c r="C268" s="7" t="s">
        <v>1273</v>
      </c>
      <c r="D268" s="7" t="s">
        <v>32</v>
      </c>
      <c r="E268" s="8" t="s">
        <v>1238</v>
      </c>
      <c r="F268" s="8" t="s">
        <v>1274</v>
      </c>
      <c r="G268" s="9" t="s">
        <v>1275</v>
      </c>
      <c r="H268" s="8" t="s">
        <v>1276</v>
      </c>
      <c r="I268" s="24" t="s">
        <v>1277</v>
      </c>
      <c r="J268" s="10">
        <v>1.92E8</v>
      </c>
      <c r="K268" s="11"/>
      <c r="L268" s="10">
        <f t="shared" si="1"/>
        <v>192000000</v>
      </c>
      <c r="M268" s="12">
        <f>IFERROR(__xludf.DUMMYFUNCTION("+N268/L268"),0.25)</f>
        <v>0.25</v>
      </c>
      <c r="N268" s="13">
        <v>4.8E7</v>
      </c>
      <c r="O268" s="13">
        <f t="shared" si="2"/>
        <v>144000000</v>
      </c>
      <c r="P268" s="8" t="s">
        <v>47</v>
      </c>
      <c r="Q268" s="40">
        <v>30525.0</v>
      </c>
      <c r="R268" s="32">
        <v>34825.0</v>
      </c>
      <c r="S268" s="46">
        <v>45758.0</v>
      </c>
      <c r="T268" s="45">
        <v>45762.0</v>
      </c>
      <c r="U268" s="46">
        <v>45763.0</v>
      </c>
      <c r="V268" s="8"/>
      <c r="W268" s="8">
        <v>228.0</v>
      </c>
      <c r="X268" s="8">
        <f t="shared" si="4"/>
        <v>228</v>
      </c>
      <c r="Y268" s="8">
        <v>42.54385965</v>
      </c>
      <c r="Z268" s="17">
        <f>VLOOKUP(F268,RANGOFECHAFINAL,25,FALSE)</f>
        <v>45991</v>
      </c>
      <c r="AA268" s="8" t="s">
        <v>1278</v>
      </c>
      <c r="AB268" s="8" t="s">
        <v>128</v>
      </c>
      <c r="AC268" s="8" t="s">
        <v>42</v>
      </c>
      <c r="AD268" s="7"/>
    </row>
    <row r="269">
      <c r="A269" s="7"/>
      <c r="B269" s="7" t="s">
        <v>581</v>
      </c>
      <c r="C269" s="7" t="s">
        <v>1279</v>
      </c>
      <c r="D269" s="7" t="s">
        <v>32</v>
      </c>
      <c r="E269" s="8" t="s">
        <v>583</v>
      </c>
      <c r="F269" s="8" t="s">
        <v>1280</v>
      </c>
      <c r="G269" s="9" t="s">
        <v>1281</v>
      </c>
      <c r="H269" s="8" t="s">
        <v>1282</v>
      </c>
      <c r="I269" s="8">
        <v>7.2218912E7</v>
      </c>
      <c r="J269" s="10">
        <v>5.4841995E7</v>
      </c>
      <c r="K269" s="11"/>
      <c r="L269" s="10">
        <f t="shared" si="1"/>
        <v>54841995</v>
      </c>
      <c r="M269" s="12">
        <f>IFERROR(__xludf.DUMMYFUNCTION("+N269/L269"),0.32399988366579296)</f>
        <v>0.3239998837</v>
      </c>
      <c r="N269" s="13">
        <v>1.77688E7</v>
      </c>
      <c r="O269" s="13">
        <f t="shared" si="2"/>
        <v>37073195</v>
      </c>
      <c r="P269" s="8" t="s">
        <v>111</v>
      </c>
      <c r="Q269" s="36">
        <v>26325.0</v>
      </c>
      <c r="R269" s="47">
        <v>26725.0</v>
      </c>
      <c r="S269" s="46">
        <v>45709.0</v>
      </c>
      <c r="T269" s="47" t="s">
        <v>587</v>
      </c>
      <c r="U269" s="48">
        <v>45751.0</v>
      </c>
      <c r="V269" s="8"/>
      <c r="W269" s="8">
        <v>302.0</v>
      </c>
      <c r="X269" s="8">
        <f t="shared" si="4"/>
        <v>302</v>
      </c>
      <c r="Y269" s="8">
        <v>43.6</v>
      </c>
      <c r="Z269" s="17">
        <f>VLOOKUP(F269,RANGOFECHAFINAL,25,FALSE)</f>
        <v>46001</v>
      </c>
      <c r="AA269" s="8" t="s">
        <v>666</v>
      </c>
      <c r="AB269" s="8" t="s">
        <v>667</v>
      </c>
      <c r="AC269" s="8" t="s">
        <v>42</v>
      </c>
      <c r="AD269" s="7"/>
    </row>
    <row r="270">
      <c r="A270" s="7"/>
      <c r="B270" s="7" t="s">
        <v>581</v>
      </c>
      <c r="C270" s="7" t="s">
        <v>1283</v>
      </c>
      <c r="D270" s="7" t="s">
        <v>32</v>
      </c>
      <c r="E270" s="8" t="s">
        <v>583</v>
      </c>
      <c r="F270" s="8" t="s">
        <v>1284</v>
      </c>
      <c r="G270" s="9" t="s">
        <v>1260</v>
      </c>
      <c r="H270" s="8" t="s">
        <v>1285</v>
      </c>
      <c r="I270" s="8">
        <v>1.12841675E9</v>
      </c>
      <c r="J270" s="10">
        <v>8.5340001E7</v>
      </c>
      <c r="K270" s="11">
        <v>-2099300.0</v>
      </c>
      <c r="L270" s="10">
        <f t="shared" si="1"/>
        <v>83240701</v>
      </c>
      <c r="M270" s="12">
        <f>IFERROR(__xludf.DUMMYFUNCTION("+N270/L270"),0.299032801273502)</f>
        <v>0.2990328013</v>
      </c>
      <c r="N270" s="13">
        <v>2.48917E7</v>
      </c>
      <c r="O270" s="13">
        <f t="shared" si="2"/>
        <v>58349001</v>
      </c>
      <c r="P270" s="8" t="s">
        <v>53</v>
      </c>
      <c r="Q270" s="8">
        <v>26725.0</v>
      </c>
      <c r="R270" s="8">
        <v>27425.0</v>
      </c>
      <c r="S270" s="14">
        <v>45713.0</v>
      </c>
      <c r="T270" s="15"/>
      <c r="U270" s="14">
        <v>45756.0</v>
      </c>
      <c r="V270" s="8"/>
      <c r="W270" s="8">
        <v>302.0</v>
      </c>
      <c r="X270" s="8">
        <f t="shared" si="4"/>
        <v>302</v>
      </c>
      <c r="Y270" s="8">
        <v>39.09774436</v>
      </c>
      <c r="Z270" s="17">
        <f>VLOOKUP(F270,RANGOFECHAFINAL,25,FALSE)</f>
        <v>46022</v>
      </c>
      <c r="AA270" s="8" t="s">
        <v>1286</v>
      </c>
      <c r="AB270" s="8" t="s">
        <v>182</v>
      </c>
      <c r="AC270" s="8" t="s">
        <v>42</v>
      </c>
      <c r="AD270" s="7"/>
    </row>
    <row r="271" hidden="1">
      <c r="A271" s="7"/>
      <c r="B271" s="7" t="s">
        <v>581</v>
      </c>
      <c r="C271" s="7" t="s">
        <v>1287</v>
      </c>
      <c r="D271" s="7" t="s">
        <v>32</v>
      </c>
      <c r="E271" s="8" t="s">
        <v>1191</v>
      </c>
      <c r="F271" s="8" t="s">
        <v>1288</v>
      </c>
      <c r="G271" s="9" t="s">
        <v>1289</v>
      </c>
      <c r="H271" s="8" t="s">
        <v>1290</v>
      </c>
      <c r="I271" s="8">
        <v>5.22132302E8</v>
      </c>
      <c r="J271" s="10">
        <v>3.9E8</v>
      </c>
      <c r="K271" s="11">
        <v>2.25E7</v>
      </c>
      <c r="L271" s="10">
        <f t="shared" si="1"/>
        <v>412500000</v>
      </c>
      <c r="M271" s="12">
        <f>IFERROR(__xludf.DUMMYFUNCTION("+N271/L271"),1.0)</f>
        <v>1</v>
      </c>
      <c r="N271" s="13">
        <v>4.125E8</v>
      </c>
      <c r="O271" s="13">
        <f t="shared" si="2"/>
        <v>0</v>
      </c>
      <c r="P271" s="8" t="s">
        <v>53</v>
      </c>
      <c r="Q271" s="40">
        <v>26825.0</v>
      </c>
      <c r="R271" s="40">
        <v>27525.0</v>
      </c>
      <c r="S271" s="37">
        <v>45713.0</v>
      </c>
      <c r="T271" s="37"/>
      <c r="U271" s="37">
        <v>45769.0</v>
      </c>
      <c r="V271" s="8"/>
      <c r="W271" s="8">
        <v>306.0</v>
      </c>
      <c r="X271" s="8">
        <f t="shared" si="4"/>
        <v>306</v>
      </c>
      <c r="Y271" s="8">
        <v>38.39662447</v>
      </c>
      <c r="Z271" s="17">
        <f>VLOOKUP(F271,RANGOFECHAFINAL,25,FALSE)</f>
        <v>46006</v>
      </c>
      <c r="AA271" s="8" t="s">
        <v>1291</v>
      </c>
      <c r="AB271" s="8" t="s">
        <v>667</v>
      </c>
      <c r="AC271" s="8" t="s">
        <v>42</v>
      </c>
      <c r="AD271" s="7"/>
    </row>
    <row r="272" hidden="1">
      <c r="A272" s="7"/>
      <c r="B272" s="7" t="s">
        <v>581</v>
      </c>
      <c r="C272" s="7" t="s">
        <v>1292</v>
      </c>
      <c r="D272" s="7" t="s">
        <v>32</v>
      </c>
      <c r="E272" s="8" t="s">
        <v>1293</v>
      </c>
      <c r="F272" s="8" t="s">
        <v>1294</v>
      </c>
      <c r="G272" s="9" t="s">
        <v>1295</v>
      </c>
      <c r="H272" s="8" t="s">
        <v>1296</v>
      </c>
      <c r="I272" s="8" t="s">
        <v>1297</v>
      </c>
      <c r="J272" s="10">
        <v>8939784.0</v>
      </c>
      <c r="K272" s="11"/>
      <c r="L272" s="10">
        <f t="shared" si="1"/>
        <v>8939784</v>
      </c>
      <c r="M272" s="12">
        <f>IFERROR(__xludf.DUMMYFUNCTION("+N272/L272"),0.3333333333333333)</f>
        <v>0.3333333333</v>
      </c>
      <c r="N272" s="13">
        <v>2979928.0</v>
      </c>
      <c r="O272" s="13">
        <f t="shared" si="2"/>
        <v>5959856</v>
      </c>
      <c r="P272" s="8" t="s">
        <v>1298</v>
      </c>
      <c r="Q272" s="40">
        <v>26625.0</v>
      </c>
      <c r="R272" s="40">
        <v>28025.0</v>
      </c>
      <c r="S272" s="37">
        <v>45758.0</v>
      </c>
      <c r="T272" s="37"/>
      <c r="U272" s="37">
        <v>45761.0</v>
      </c>
      <c r="V272" s="8"/>
      <c r="W272" s="8">
        <v>306.0</v>
      </c>
      <c r="X272" s="8">
        <f t="shared" si="4"/>
        <v>306</v>
      </c>
      <c r="Y272" s="8">
        <v>37.93103448</v>
      </c>
      <c r="Z272" s="17">
        <f>VLOOKUP(F272,RANGOFECHAFINAL,25,FALSE)</f>
        <v>46022</v>
      </c>
      <c r="AA272" s="8" t="s">
        <v>86</v>
      </c>
      <c r="AB272" s="8" t="s">
        <v>41</v>
      </c>
      <c r="AC272" s="8" t="s">
        <v>42</v>
      </c>
      <c r="AD272" s="7"/>
    </row>
    <row r="273">
      <c r="A273" s="7"/>
      <c r="B273" s="7" t="s">
        <v>581</v>
      </c>
      <c r="C273" s="7" t="s">
        <v>1299</v>
      </c>
      <c r="D273" s="7" t="s">
        <v>32</v>
      </c>
      <c r="E273" s="8" t="s">
        <v>583</v>
      </c>
      <c r="F273" s="8" t="s">
        <v>1300</v>
      </c>
      <c r="G273" s="9" t="s">
        <v>1301</v>
      </c>
      <c r="H273" s="8" t="s">
        <v>1302</v>
      </c>
      <c r="I273" s="35">
        <v>3.6283216E7</v>
      </c>
      <c r="J273" s="10">
        <v>7.4233333E7</v>
      </c>
      <c r="K273" s="11">
        <v>-283333.0</v>
      </c>
      <c r="L273" s="10">
        <f t="shared" si="1"/>
        <v>73950000</v>
      </c>
      <c r="M273" s="12">
        <f>IFERROR(__xludf.DUMMYFUNCTION("+N273/L273"),0.3103448275862069)</f>
        <v>0.3103448276</v>
      </c>
      <c r="N273" s="13">
        <v>2.295E7</v>
      </c>
      <c r="O273" s="13">
        <f t="shared" si="2"/>
        <v>51000000</v>
      </c>
      <c r="P273" s="35" t="s">
        <v>228</v>
      </c>
      <c r="Q273" s="40">
        <v>31925.0</v>
      </c>
      <c r="R273" s="40">
        <v>34125.0</v>
      </c>
      <c r="S273" s="37">
        <v>45756.0</v>
      </c>
      <c r="T273" s="40"/>
      <c r="U273" s="37">
        <v>45757.0</v>
      </c>
      <c r="V273" s="8"/>
      <c r="W273" s="8">
        <v>265.0</v>
      </c>
      <c r="X273" s="8">
        <f t="shared" si="4"/>
        <v>265</v>
      </c>
      <c r="Y273" s="8">
        <v>38.86792453</v>
      </c>
      <c r="Z273" s="17">
        <f>VLOOKUP(F273,RANGOFECHAFINAL,25,FALSE)</f>
        <v>46022</v>
      </c>
      <c r="AA273" s="8" t="s">
        <v>257</v>
      </c>
      <c r="AB273" s="8" t="s">
        <v>258</v>
      </c>
      <c r="AC273" s="8" t="s">
        <v>42</v>
      </c>
      <c r="AD273" s="7"/>
    </row>
    <row r="274">
      <c r="A274" s="7"/>
      <c r="B274" s="7" t="s">
        <v>581</v>
      </c>
      <c r="C274" s="7" t="s">
        <v>1303</v>
      </c>
      <c r="D274" s="7" t="s">
        <v>32</v>
      </c>
      <c r="E274" s="8" t="s">
        <v>583</v>
      </c>
      <c r="F274" s="8" t="s">
        <v>1304</v>
      </c>
      <c r="G274" s="9" t="s">
        <v>1305</v>
      </c>
      <c r="H274" s="8" t="s">
        <v>1306</v>
      </c>
      <c r="I274" s="8">
        <v>1.125639792E9</v>
      </c>
      <c r="J274" s="10">
        <v>8.2333333E7</v>
      </c>
      <c r="K274" s="11">
        <v>-1266666.0</v>
      </c>
      <c r="L274" s="10">
        <f t="shared" si="1"/>
        <v>81066667</v>
      </c>
      <c r="M274" s="12">
        <f>IFERROR(__xludf.DUMMYFUNCTION("+N274/L274"),0.296875002891139)</f>
        <v>0.2968750029</v>
      </c>
      <c r="N274" s="13">
        <v>2.4066667E7</v>
      </c>
      <c r="O274" s="13">
        <f t="shared" si="2"/>
        <v>57000000</v>
      </c>
      <c r="P274" s="35" t="s">
        <v>53</v>
      </c>
      <c r="Q274" s="40">
        <v>31825.0</v>
      </c>
      <c r="R274" s="40">
        <v>34725.0</v>
      </c>
      <c r="S274" s="37">
        <v>45758.0</v>
      </c>
      <c r="T274" s="40"/>
      <c r="U274" s="37">
        <v>45762.0</v>
      </c>
      <c r="V274" s="8"/>
      <c r="W274" s="8">
        <v>260.0</v>
      </c>
      <c r="X274" s="8">
        <f t="shared" si="4"/>
        <v>260</v>
      </c>
      <c r="Y274" s="8">
        <v>37.69230769</v>
      </c>
      <c r="Z274" s="17">
        <v>46022.0</v>
      </c>
      <c r="AA274" s="8" t="s">
        <v>257</v>
      </c>
      <c r="AB274" s="8" t="s">
        <v>258</v>
      </c>
      <c r="AC274" s="8" t="s">
        <v>42</v>
      </c>
      <c r="AD274" s="7"/>
    </row>
    <row r="275">
      <c r="A275" s="7"/>
      <c r="B275" s="7" t="s">
        <v>581</v>
      </c>
      <c r="C275" s="7" t="s">
        <v>1307</v>
      </c>
      <c r="D275" s="7" t="s">
        <v>32</v>
      </c>
      <c r="E275" s="8" t="s">
        <v>1030</v>
      </c>
      <c r="F275" s="8" t="s">
        <v>1308</v>
      </c>
      <c r="G275" s="9" t="s">
        <v>1309</v>
      </c>
      <c r="H275" s="35" t="s">
        <v>1310</v>
      </c>
      <c r="I275" s="24" t="s">
        <v>1311</v>
      </c>
      <c r="J275" s="10">
        <v>6.0E7</v>
      </c>
      <c r="K275" s="11"/>
      <c r="L275" s="10">
        <f t="shared" si="1"/>
        <v>60000000</v>
      </c>
      <c r="M275" s="12">
        <f>IFERROR(__xludf.DUMMYFUNCTION("+N275/L275"),0.0)</f>
        <v>0</v>
      </c>
      <c r="N275" s="13">
        <v>0.0</v>
      </c>
      <c r="O275" s="13">
        <f t="shared" si="2"/>
        <v>60000000</v>
      </c>
      <c r="P275" s="35" t="s">
        <v>77</v>
      </c>
      <c r="Q275" s="40">
        <v>28325.0</v>
      </c>
      <c r="R275" s="40">
        <v>35625.0</v>
      </c>
      <c r="S275" s="37">
        <v>45763.0</v>
      </c>
      <c r="T275" s="43">
        <v>45770.0</v>
      </c>
      <c r="U275" s="37">
        <v>45771.0</v>
      </c>
      <c r="V275" s="8"/>
      <c r="W275" s="35">
        <v>213.0</v>
      </c>
      <c r="X275" s="8">
        <f t="shared" si="4"/>
        <v>213</v>
      </c>
      <c r="Y275" s="8">
        <v>98.88888889</v>
      </c>
      <c r="Z275" s="17">
        <f>VLOOKUP(F275,RANGOFECHAFINAL,25,FALSE)</f>
        <v>45861</v>
      </c>
      <c r="AA275" s="8" t="s">
        <v>433</v>
      </c>
      <c r="AB275" s="8" t="s">
        <v>176</v>
      </c>
      <c r="AC275" s="8" t="s">
        <v>42</v>
      </c>
      <c r="AD275" s="7"/>
    </row>
    <row r="276" hidden="1">
      <c r="A276" s="7"/>
      <c r="B276" s="7" t="s">
        <v>581</v>
      </c>
      <c r="C276" s="7"/>
      <c r="D276" s="7" t="s">
        <v>32</v>
      </c>
      <c r="E276" s="8" t="s">
        <v>1312</v>
      </c>
      <c r="F276" s="8" t="s">
        <v>1313</v>
      </c>
      <c r="G276" s="9" t="s">
        <v>1314</v>
      </c>
      <c r="H276" s="35" t="s">
        <v>1315</v>
      </c>
      <c r="I276" s="24" t="s">
        <v>1316</v>
      </c>
      <c r="J276" s="10">
        <v>1.35372026E8</v>
      </c>
      <c r="K276" s="11">
        <v>6.3797816E7</v>
      </c>
      <c r="L276" s="10">
        <f t="shared" si="1"/>
        <v>199169842</v>
      </c>
      <c r="M276" s="12">
        <f>IFERROR(__xludf.DUMMYFUNCTION("+N276/L276"),0.4477802266871307)</f>
        <v>0.4477802267</v>
      </c>
      <c r="N276" s="13">
        <v>8.9184317E7</v>
      </c>
      <c r="O276" s="13">
        <f t="shared" si="2"/>
        <v>109985525</v>
      </c>
      <c r="P276" s="8" t="s">
        <v>1317</v>
      </c>
      <c r="Q276" s="40">
        <v>27725.0</v>
      </c>
      <c r="R276" s="40">
        <v>35925.0</v>
      </c>
      <c r="S276" s="37">
        <v>45763.0</v>
      </c>
      <c r="T276" s="49">
        <v>45770.0</v>
      </c>
      <c r="U276" s="37">
        <v>45771.0</v>
      </c>
      <c r="V276" s="8">
        <v>30.0</v>
      </c>
      <c r="W276" s="8">
        <v>90.0</v>
      </c>
      <c r="X276" s="8">
        <f t="shared" si="4"/>
        <v>120</v>
      </c>
      <c r="Y276" s="8">
        <v>73.55371901</v>
      </c>
      <c r="Z276" s="18">
        <v>45892.0</v>
      </c>
      <c r="AA276" s="8" t="s">
        <v>1318</v>
      </c>
      <c r="AB276" s="8" t="s">
        <v>41</v>
      </c>
      <c r="AC276" s="8" t="s">
        <v>42</v>
      </c>
      <c r="AD276" s="7"/>
    </row>
    <row r="277">
      <c r="A277" s="7"/>
      <c r="B277" s="7" t="s">
        <v>581</v>
      </c>
      <c r="C277" s="7" t="s">
        <v>1319</v>
      </c>
      <c r="D277" s="7" t="s">
        <v>32</v>
      </c>
      <c r="E277" s="21" t="s">
        <v>520</v>
      </c>
      <c r="F277" s="8" t="s">
        <v>1320</v>
      </c>
      <c r="G277" s="9" t="s">
        <v>1321</v>
      </c>
      <c r="H277" s="8" t="s">
        <v>1322</v>
      </c>
      <c r="I277" s="8">
        <v>1.000603646E9</v>
      </c>
      <c r="J277" s="10">
        <v>2.8145355E7</v>
      </c>
      <c r="K277" s="11">
        <v>-876120.0</v>
      </c>
      <c r="L277" s="10">
        <v>2.8145355E7</v>
      </c>
      <c r="M277" s="12">
        <f>IFERROR(__xludf.DUMMYFUNCTION("+N277/L277"),0.26848249027237353)</f>
        <v>0.2684824903</v>
      </c>
      <c r="N277" s="13">
        <v>7556535.0</v>
      </c>
      <c r="O277" s="13">
        <f t="shared" si="2"/>
        <v>20588820</v>
      </c>
      <c r="P277" s="35" t="s">
        <v>67</v>
      </c>
      <c r="Q277" s="40">
        <v>32425.0</v>
      </c>
      <c r="R277" s="40">
        <v>35825.0</v>
      </c>
      <c r="S277" s="37">
        <v>45762.0</v>
      </c>
      <c r="T277" s="37"/>
      <c r="U277" s="37">
        <v>45769.0</v>
      </c>
      <c r="V277" s="8"/>
      <c r="W277" s="8">
        <v>253.0</v>
      </c>
      <c r="X277" s="8">
        <f t="shared" si="4"/>
        <v>253</v>
      </c>
      <c r="Y277" s="8">
        <v>35.96837945</v>
      </c>
      <c r="Z277" s="17">
        <f>VLOOKUP(F277,RANGOFECHAFINAL,25,FALSE)</f>
        <v>46022</v>
      </c>
      <c r="AA277" s="8" t="s">
        <v>1323</v>
      </c>
      <c r="AB277" s="8" t="s">
        <v>106</v>
      </c>
      <c r="AC277" s="8" t="s">
        <v>42</v>
      </c>
      <c r="AD277" s="7"/>
    </row>
    <row r="278">
      <c r="A278" s="7"/>
      <c r="B278" s="7" t="s">
        <v>581</v>
      </c>
      <c r="C278" s="7" t="s">
        <v>1324</v>
      </c>
      <c r="D278" s="7" t="s">
        <v>32</v>
      </c>
      <c r="E278" s="8" t="s">
        <v>583</v>
      </c>
      <c r="F278" s="8" t="s">
        <v>1325</v>
      </c>
      <c r="G278" s="9" t="s">
        <v>1326</v>
      </c>
      <c r="H278" s="35" t="s">
        <v>1327</v>
      </c>
      <c r="I278" s="35">
        <v>1.193447899E9</v>
      </c>
      <c r="J278" s="10">
        <v>3.28874E7</v>
      </c>
      <c r="K278" s="11">
        <v>-1264900.0</v>
      </c>
      <c r="L278" s="10">
        <f t="shared" ref="L278:L368" si="5">J278+K278</f>
        <v>31622500</v>
      </c>
      <c r="M278" s="12">
        <f>IFERROR(__xludf.DUMMYFUNCTION("+N278/L278"),0.28)</f>
        <v>0.28</v>
      </c>
      <c r="N278" s="13">
        <v>8854300.0</v>
      </c>
      <c r="O278" s="13">
        <f t="shared" si="2"/>
        <v>22768200</v>
      </c>
      <c r="P278" s="35" t="s">
        <v>91</v>
      </c>
      <c r="Q278" s="40">
        <v>31425.0</v>
      </c>
      <c r="R278" s="40">
        <v>35725.0</v>
      </c>
      <c r="S278" s="37">
        <v>45762.0</v>
      </c>
      <c r="T278" s="40"/>
      <c r="U278" s="37">
        <v>45768.0</v>
      </c>
      <c r="V278" s="8"/>
      <c r="W278" s="8">
        <v>254.0</v>
      </c>
      <c r="X278" s="8">
        <f t="shared" si="4"/>
        <v>254</v>
      </c>
      <c r="Y278" s="8">
        <v>36.22047244</v>
      </c>
      <c r="Z278" s="17">
        <v>46022.0</v>
      </c>
      <c r="AA278" s="8" t="s">
        <v>217</v>
      </c>
      <c r="AB278" s="8" t="s">
        <v>93</v>
      </c>
      <c r="AC278" s="8" t="s">
        <v>42</v>
      </c>
      <c r="AD278" s="7"/>
    </row>
    <row r="279" hidden="1">
      <c r="A279" s="7"/>
      <c r="B279" s="7" t="s">
        <v>1133</v>
      </c>
      <c r="C279" s="7" t="s">
        <v>1328</v>
      </c>
      <c r="D279" s="7" t="s">
        <v>32</v>
      </c>
      <c r="E279" s="8" t="s">
        <v>1133</v>
      </c>
      <c r="F279" s="8" t="s">
        <v>1329</v>
      </c>
      <c r="G279" s="9" t="s">
        <v>1330</v>
      </c>
      <c r="H279" s="8" t="s">
        <v>1331</v>
      </c>
      <c r="I279" s="24" t="s">
        <v>1332</v>
      </c>
      <c r="J279" s="10">
        <v>0.0</v>
      </c>
      <c r="K279" s="11"/>
      <c r="L279" s="10">
        <f t="shared" si="5"/>
        <v>0</v>
      </c>
      <c r="M279" s="12">
        <v>0.0</v>
      </c>
      <c r="N279" s="13">
        <v>0.0</v>
      </c>
      <c r="O279" s="13">
        <f t="shared" si="2"/>
        <v>0</v>
      </c>
      <c r="P279" s="8" t="s">
        <v>1333</v>
      </c>
      <c r="Q279" s="8" t="s">
        <v>1333</v>
      </c>
      <c r="R279" s="8" t="s">
        <v>1333</v>
      </c>
      <c r="S279" s="14">
        <v>45759.0</v>
      </c>
      <c r="T279" s="14"/>
      <c r="U279" s="14">
        <v>45759.0</v>
      </c>
      <c r="V279" s="8"/>
      <c r="W279" s="24">
        <v>1095.0</v>
      </c>
      <c r="X279" s="24">
        <f t="shared" si="4"/>
        <v>1095</v>
      </c>
      <c r="Y279" s="8">
        <v>9.223744292</v>
      </c>
      <c r="Z279" s="18">
        <v>46854.0</v>
      </c>
      <c r="AA279" s="8" t="s">
        <v>1334</v>
      </c>
      <c r="AB279" s="8" t="s">
        <v>106</v>
      </c>
      <c r="AC279" s="8" t="s">
        <v>42</v>
      </c>
      <c r="AD279" s="7"/>
    </row>
    <row r="280">
      <c r="A280" s="7"/>
      <c r="B280" s="7" t="s">
        <v>581</v>
      </c>
      <c r="C280" s="7" t="s">
        <v>1335</v>
      </c>
      <c r="D280" s="7" t="s">
        <v>32</v>
      </c>
      <c r="E280" s="8" t="s">
        <v>583</v>
      </c>
      <c r="F280" s="8" t="s">
        <v>1336</v>
      </c>
      <c r="G280" s="9" t="s">
        <v>1337</v>
      </c>
      <c r="H280" s="50" t="s">
        <v>1338</v>
      </c>
      <c r="I280" s="24">
        <v>5.3054857E7</v>
      </c>
      <c r="J280" s="10">
        <v>4.8E7</v>
      </c>
      <c r="K280" s="11"/>
      <c r="L280" s="10">
        <f t="shared" si="5"/>
        <v>48000000</v>
      </c>
      <c r="M280" s="12">
        <f>IFERROR(__xludf.DUMMYFUNCTION("+N280/L280"),0.4166666666666667)</f>
        <v>0.4166666667</v>
      </c>
      <c r="N280" s="13">
        <v>2.0E7</v>
      </c>
      <c r="O280" s="13">
        <f t="shared" si="2"/>
        <v>28000000</v>
      </c>
      <c r="P280" s="8" t="s">
        <v>77</v>
      </c>
      <c r="Q280" s="8">
        <v>15825.0</v>
      </c>
      <c r="R280" s="8">
        <v>35225.0</v>
      </c>
      <c r="S280" s="14">
        <v>45762.0</v>
      </c>
      <c r="T280" s="15"/>
      <c r="U280" s="14">
        <v>45763.0</v>
      </c>
      <c r="V280" s="8"/>
      <c r="W280" s="8">
        <v>182.0</v>
      </c>
      <c r="X280" s="8">
        <f t="shared" si="4"/>
        <v>182</v>
      </c>
      <c r="Y280" s="8">
        <v>52.7173913</v>
      </c>
      <c r="Z280" s="17">
        <v>45947.0</v>
      </c>
      <c r="AA280" s="8" t="s">
        <v>1232</v>
      </c>
      <c r="AB280" s="8" t="s">
        <v>176</v>
      </c>
      <c r="AC280" s="8" t="s">
        <v>42</v>
      </c>
      <c r="AD280" s="7"/>
    </row>
    <row r="281" hidden="1">
      <c r="A281" s="7"/>
      <c r="B281" s="7" t="s">
        <v>581</v>
      </c>
      <c r="C281" s="7" t="s">
        <v>1339</v>
      </c>
      <c r="D281" s="7" t="s">
        <v>32</v>
      </c>
      <c r="E281" s="8" t="s">
        <v>1340</v>
      </c>
      <c r="F281" s="8" t="s">
        <v>1341</v>
      </c>
      <c r="G281" s="9" t="s">
        <v>1342</v>
      </c>
      <c r="H281" s="8" t="s">
        <v>1343</v>
      </c>
      <c r="I281" s="24">
        <v>1.010192885E9</v>
      </c>
      <c r="J281" s="10">
        <v>1.95E7</v>
      </c>
      <c r="K281" s="11">
        <v>8450000.0</v>
      </c>
      <c r="L281" s="10">
        <f t="shared" si="5"/>
        <v>27950000</v>
      </c>
      <c r="M281" s="12">
        <f>IFERROR(__xludf.DUMMYFUNCTION("+N281/L281"),0.5348837209302325)</f>
        <v>0.5348837209</v>
      </c>
      <c r="N281" s="13">
        <v>1.495E7</v>
      </c>
      <c r="O281" s="13">
        <f t="shared" si="2"/>
        <v>13000000</v>
      </c>
      <c r="P281" s="8" t="s">
        <v>858</v>
      </c>
      <c r="Q281" s="8">
        <v>25725.0</v>
      </c>
      <c r="R281" s="8">
        <v>32325.0</v>
      </c>
      <c r="S281" s="14">
        <v>45763.0</v>
      </c>
      <c r="T281" s="15"/>
      <c r="U281" s="14">
        <v>45769.0</v>
      </c>
      <c r="V281" s="8">
        <v>39.0</v>
      </c>
      <c r="W281" s="8">
        <v>90.0</v>
      </c>
      <c r="X281" s="8">
        <f t="shared" si="4"/>
        <v>129</v>
      </c>
      <c r="Y281" s="8">
        <v>70.0</v>
      </c>
      <c r="Z281" s="18">
        <v>45899.0</v>
      </c>
      <c r="AA281" s="8" t="s">
        <v>524</v>
      </c>
      <c r="AB281" s="8" t="s">
        <v>1344</v>
      </c>
      <c r="AC281" s="8" t="s">
        <v>42</v>
      </c>
      <c r="AD281" s="7"/>
    </row>
    <row r="282" hidden="1">
      <c r="A282" s="7"/>
      <c r="B282" s="7" t="s">
        <v>581</v>
      </c>
      <c r="C282" s="7" t="s">
        <v>1345</v>
      </c>
      <c r="D282" s="7" t="s">
        <v>32</v>
      </c>
      <c r="E282" s="8" t="s">
        <v>81</v>
      </c>
      <c r="F282" s="8" t="s">
        <v>1346</v>
      </c>
      <c r="G282" s="9" t="s">
        <v>1347</v>
      </c>
      <c r="H282" s="8" t="s">
        <v>1348</v>
      </c>
      <c r="I282" s="8">
        <v>8.45857E8</v>
      </c>
      <c r="J282" s="10">
        <v>6.88481282E8</v>
      </c>
      <c r="K282" s="11"/>
      <c r="L282" s="10">
        <f t="shared" si="5"/>
        <v>688481282</v>
      </c>
      <c r="M282" s="12">
        <f>IFERROR(__xludf.DUMMYFUNCTION("+N282/L282"),0.0)</f>
        <v>0</v>
      </c>
      <c r="N282" s="13">
        <v>0.0</v>
      </c>
      <c r="O282" s="13">
        <f t="shared" si="2"/>
        <v>688481282</v>
      </c>
      <c r="P282" s="8" t="s">
        <v>77</v>
      </c>
      <c r="Q282" s="8">
        <v>31025.0</v>
      </c>
      <c r="R282" s="8">
        <v>35525.0</v>
      </c>
      <c r="S282" s="14">
        <v>45763.0</v>
      </c>
      <c r="T282" s="15"/>
      <c r="U282" s="14">
        <v>45768.0</v>
      </c>
      <c r="V282" s="8"/>
      <c r="W282" s="8">
        <v>364.0</v>
      </c>
      <c r="X282" s="8">
        <f t="shared" si="4"/>
        <v>364</v>
      </c>
      <c r="Y282" s="8">
        <v>25.55555556</v>
      </c>
      <c r="Z282" s="17">
        <f>VLOOKUP(F282,RANGOFECHAFINAL,25,FALSE)</f>
        <v>46128</v>
      </c>
      <c r="AA282" s="8" t="s">
        <v>1349</v>
      </c>
      <c r="AB282" s="8" t="s">
        <v>1350</v>
      </c>
      <c r="AC282" s="8" t="s">
        <v>42</v>
      </c>
      <c r="AD282" s="7"/>
    </row>
    <row r="283" hidden="1">
      <c r="A283" s="7"/>
      <c r="B283" s="7" t="s">
        <v>581</v>
      </c>
      <c r="C283" s="7" t="s">
        <v>1351</v>
      </c>
      <c r="D283" s="7" t="s">
        <v>32</v>
      </c>
      <c r="E283" s="8" t="s">
        <v>1352</v>
      </c>
      <c r="F283" s="51" t="s">
        <v>1353</v>
      </c>
      <c r="G283" s="9" t="s">
        <v>1354</v>
      </c>
      <c r="H283" s="8" t="s">
        <v>1355</v>
      </c>
      <c r="I283" s="8" t="s">
        <v>1356</v>
      </c>
      <c r="J283" s="10">
        <v>1.78844605E8</v>
      </c>
      <c r="K283" s="11"/>
      <c r="L283" s="10">
        <f t="shared" si="5"/>
        <v>178844605</v>
      </c>
      <c r="M283" s="12">
        <f>IFERROR(__xludf.DUMMYFUNCTION("+N283/L283"),0.5000000027957231)</f>
        <v>0.5000000028</v>
      </c>
      <c r="N283" s="13">
        <v>8.9422303E7</v>
      </c>
      <c r="O283" s="13">
        <f t="shared" si="2"/>
        <v>89422302</v>
      </c>
      <c r="P283" s="8" t="s">
        <v>648</v>
      </c>
      <c r="Q283" s="8">
        <v>35425.0</v>
      </c>
      <c r="R283" s="8">
        <v>35425.0</v>
      </c>
      <c r="S283" s="14">
        <v>45763.0</v>
      </c>
      <c r="T283" s="19">
        <v>45769.0</v>
      </c>
      <c r="U283" s="14">
        <v>45770.0</v>
      </c>
      <c r="V283" s="8"/>
      <c r="W283" s="8">
        <v>121.0</v>
      </c>
      <c r="X283" s="8">
        <f t="shared" si="4"/>
        <v>121</v>
      </c>
      <c r="Y283" s="8">
        <v>74.38016529</v>
      </c>
      <c r="Z283" s="17">
        <f>VLOOKUP(F283,RANGOFECHAFINAL,25,FALSE)</f>
        <v>45891</v>
      </c>
      <c r="AA283" s="8" t="s">
        <v>524</v>
      </c>
      <c r="AB283" s="8" t="s">
        <v>41</v>
      </c>
      <c r="AC283" s="8" t="s">
        <v>42</v>
      </c>
      <c r="AD283" s="7"/>
    </row>
    <row r="284">
      <c r="A284" s="7"/>
      <c r="B284" s="7" t="s">
        <v>581</v>
      </c>
      <c r="C284" s="7" t="s">
        <v>1357</v>
      </c>
      <c r="D284" s="7" t="s">
        <v>32</v>
      </c>
      <c r="E284" s="8" t="s">
        <v>1030</v>
      </c>
      <c r="F284" s="51" t="s">
        <v>1358</v>
      </c>
      <c r="G284" s="9" t="s">
        <v>1359</v>
      </c>
      <c r="H284" s="8" t="s">
        <v>1360</v>
      </c>
      <c r="I284" s="24">
        <v>9.0011939E8</v>
      </c>
      <c r="J284" s="10">
        <v>7.38036E7</v>
      </c>
      <c r="K284" s="11"/>
      <c r="L284" s="10">
        <f t="shared" si="5"/>
        <v>73803600</v>
      </c>
      <c r="M284" s="12">
        <f>IFERROR(__xludf.DUMMYFUNCTION("+N284/L284"),0.0)</f>
        <v>0</v>
      </c>
      <c r="N284" s="13">
        <v>0.0</v>
      </c>
      <c r="O284" s="13">
        <f t="shared" si="2"/>
        <v>73803600</v>
      </c>
      <c r="P284" s="8" t="s">
        <v>1361</v>
      </c>
      <c r="Q284" s="8">
        <v>34125.0</v>
      </c>
      <c r="R284" s="8">
        <v>37725.0</v>
      </c>
      <c r="S284" s="14">
        <v>45776.0</v>
      </c>
      <c r="T284" s="19">
        <v>45786.0</v>
      </c>
      <c r="U284" s="14">
        <v>45789.0</v>
      </c>
      <c r="V284" s="8"/>
      <c r="W284" s="8">
        <v>233.0</v>
      </c>
      <c r="X284" s="8">
        <f t="shared" si="4"/>
        <v>233</v>
      </c>
      <c r="Y284" s="8">
        <v>30.472103</v>
      </c>
      <c r="Z284" s="17">
        <f>VLOOKUP(F284,RANGOFECHAFINAL,25,FALSE)</f>
        <v>46022</v>
      </c>
      <c r="AA284" s="8" t="s">
        <v>1362</v>
      </c>
      <c r="AB284" s="8" t="s">
        <v>41</v>
      </c>
      <c r="AC284" s="8" t="s">
        <v>42</v>
      </c>
      <c r="AD284" s="7"/>
    </row>
    <row r="285" hidden="1">
      <c r="A285" s="7"/>
      <c r="B285" s="7" t="s">
        <v>581</v>
      </c>
      <c r="C285" s="7" t="s">
        <v>1363</v>
      </c>
      <c r="D285" s="7" t="s">
        <v>1364</v>
      </c>
      <c r="E285" s="8" t="s">
        <v>1365</v>
      </c>
      <c r="F285" s="52" t="s">
        <v>1366</v>
      </c>
      <c r="G285" s="9" t="s">
        <v>1367</v>
      </c>
      <c r="H285" s="9" t="s">
        <v>1368</v>
      </c>
      <c r="I285" s="53">
        <v>8.60002184E8</v>
      </c>
      <c r="J285" s="10">
        <v>2.71231335E8</v>
      </c>
      <c r="K285" s="11"/>
      <c r="L285" s="10">
        <f t="shared" si="5"/>
        <v>271231335</v>
      </c>
      <c r="M285" s="12">
        <f>IFERROR(__xludf.DUMMYFUNCTION("+N285/L285"),1.0)</f>
        <v>1</v>
      </c>
      <c r="N285" s="13">
        <v>2.71231335E8</v>
      </c>
      <c r="O285" s="13">
        <f t="shared" si="2"/>
        <v>0</v>
      </c>
      <c r="P285" s="54" t="s">
        <v>1369</v>
      </c>
      <c r="Q285" s="32">
        <v>37825.0</v>
      </c>
      <c r="R285" s="32">
        <v>28825.0</v>
      </c>
      <c r="S285" s="33">
        <v>45776.0</v>
      </c>
      <c r="T285" s="55"/>
      <c r="U285" s="14">
        <v>45783.0</v>
      </c>
      <c r="V285" s="16"/>
      <c r="W285" s="8">
        <v>481.0</v>
      </c>
      <c r="X285" s="56">
        <f t="shared" si="4"/>
        <v>481</v>
      </c>
      <c r="Y285" s="8">
        <v>16.00831601</v>
      </c>
      <c r="Z285" s="18">
        <v>46264.0</v>
      </c>
      <c r="AA285" s="8" t="s">
        <v>524</v>
      </c>
      <c r="AB285" s="8" t="s">
        <v>41</v>
      </c>
      <c r="AC285" s="8" t="s">
        <v>42</v>
      </c>
      <c r="AD285" s="7"/>
    </row>
    <row r="286">
      <c r="A286" s="7"/>
      <c r="B286" s="7" t="s">
        <v>581</v>
      </c>
      <c r="C286" s="7" t="s">
        <v>1370</v>
      </c>
      <c r="D286" s="7" t="s">
        <v>32</v>
      </c>
      <c r="E286" s="8" t="s">
        <v>583</v>
      </c>
      <c r="F286" s="51" t="s">
        <v>1371</v>
      </c>
      <c r="G286" s="9" t="s">
        <v>1372</v>
      </c>
      <c r="H286" s="8" t="s">
        <v>1373</v>
      </c>
      <c r="I286" s="24">
        <v>1.015417568E9</v>
      </c>
      <c r="J286" s="10">
        <v>1.0E7</v>
      </c>
      <c r="K286" s="11">
        <v>3000000.0</v>
      </c>
      <c r="L286" s="10">
        <f t="shared" si="5"/>
        <v>13000000</v>
      </c>
      <c r="M286" s="12">
        <f>IFERROR(__xludf.DUMMYFUNCTION("+N286/L286"),0.6153846153846154)</f>
        <v>0.6153846154</v>
      </c>
      <c r="N286" s="13">
        <v>8000000.0</v>
      </c>
      <c r="O286" s="13">
        <f t="shared" si="2"/>
        <v>5000000</v>
      </c>
      <c r="P286" s="8" t="s">
        <v>191</v>
      </c>
      <c r="Q286" s="8">
        <v>33525.0</v>
      </c>
      <c r="R286" s="8">
        <v>39625.0</v>
      </c>
      <c r="S286" s="14">
        <v>45789.0</v>
      </c>
      <c r="T286" s="15"/>
      <c r="U286" s="14">
        <v>45790.0</v>
      </c>
      <c r="V286" s="8">
        <v>18.0</v>
      </c>
      <c r="W286" s="8">
        <v>60.0</v>
      </c>
      <c r="X286" s="8">
        <f t="shared" si="4"/>
        <v>78</v>
      </c>
      <c r="Y286" s="8">
        <v>88.60759494</v>
      </c>
      <c r="Z286" s="17">
        <v>45869.0</v>
      </c>
      <c r="AA286" s="8" t="s">
        <v>1225</v>
      </c>
      <c r="AB286" s="8" t="s">
        <v>106</v>
      </c>
      <c r="AC286" s="8" t="s">
        <v>42</v>
      </c>
      <c r="AD286" s="7"/>
    </row>
    <row r="287" hidden="1">
      <c r="A287" s="7"/>
      <c r="B287" s="7" t="s">
        <v>581</v>
      </c>
      <c r="C287" s="7" t="s">
        <v>1374</v>
      </c>
      <c r="D287" s="7" t="s">
        <v>32</v>
      </c>
      <c r="E287" s="8" t="s">
        <v>81</v>
      </c>
      <c r="F287" s="51" t="s">
        <v>1375</v>
      </c>
      <c r="G287" s="9" t="s">
        <v>1376</v>
      </c>
      <c r="H287" s="8" t="s">
        <v>1377</v>
      </c>
      <c r="I287" s="24">
        <v>9.00349363E8</v>
      </c>
      <c r="J287" s="10">
        <v>4381507.0</v>
      </c>
      <c r="K287" s="11"/>
      <c r="L287" s="10">
        <f t="shared" si="5"/>
        <v>4381507</v>
      </c>
      <c r="M287" s="12">
        <f>IFERROR(__xludf.DUMMYFUNCTION("+N287/L287"),0.0)</f>
        <v>0</v>
      </c>
      <c r="N287" s="13">
        <v>0.0</v>
      </c>
      <c r="O287" s="13">
        <f t="shared" si="2"/>
        <v>4381507</v>
      </c>
      <c r="P287" s="8" t="s">
        <v>1378</v>
      </c>
      <c r="Q287" s="8">
        <v>33625.0</v>
      </c>
      <c r="R287" s="8">
        <v>41325.0</v>
      </c>
      <c r="S287" s="14">
        <v>45797.0</v>
      </c>
      <c r="T287" s="19">
        <v>45805.0</v>
      </c>
      <c r="U287" s="14">
        <v>45806.0</v>
      </c>
      <c r="V287" s="8"/>
      <c r="W287" s="8">
        <v>60.0</v>
      </c>
      <c r="X287" s="8">
        <f t="shared" si="4"/>
        <v>60</v>
      </c>
      <c r="Y287" s="8">
        <v>90.0</v>
      </c>
      <c r="Z287" s="17">
        <f>VLOOKUP(F287,RANGOFECHAFINAL,25,FALSE)</f>
        <v>45866</v>
      </c>
      <c r="AA287" s="8" t="s">
        <v>274</v>
      </c>
      <c r="AB287" s="8" t="s">
        <v>41</v>
      </c>
      <c r="AC287" s="8" t="s">
        <v>42</v>
      </c>
      <c r="AD287" s="7"/>
    </row>
    <row r="288">
      <c r="A288" s="7"/>
      <c r="B288" s="7" t="s">
        <v>581</v>
      </c>
      <c r="C288" s="7" t="s">
        <v>1379</v>
      </c>
      <c r="D288" s="7" t="s">
        <v>32</v>
      </c>
      <c r="E288" s="8" t="s">
        <v>583</v>
      </c>
      <c r="F288" s="51" t="s">
        <v>1380</v>
      </c>
      <c r="G288" s="9" t="s">
        <v>1381</v>
      </c>
      <c r="H288" s="8" t="s">
        <v>144</v>
      </c>
      <c r="I288" s="24">
        <v>5.2215231E7</v>
      </c>
      <c r="J288" s="10">
        <v>5.57772E7</v>
      </c>
      <c r="K288" s="11">
        <v>-4.462176E7</v>
      </c>
      <c r="L288" s="10">
        <f t="shared" si="5"/>
        <v>11155440</v>
      </c>
      <c r="M288" s="12">
        <f>IFERROR(__xludf.DUMMYFUNCTION("+N288/L288"),0.9111110812303235)</f>
        <v>0.9111110812</v>
      </c>
      <c r="N288" s="13">
        <v>1.0163845E7</v>
      </c>
      <c r="O288" s="13">
        <f t="shared" si="2"/>
        <v>991595</v>
      </c>
      <c r="P288" s="8" t="s">
        <v>91</v>
      </c>
      <c r="Q288" s="8">
        <v>33725.0</v>
      </c>
      <c r="R288" s="8">
        <v>41125.0</v>
      </c>
      <c r="S288" s="14">
        <v>45792.0</v>
      </c>
      <c r="T288" s="15"/>
      <c r="U288" s="14">
        <v>45797.0</v>
      </c>
      <c r="V288" s="8"/>
      <c r="W288" s="8">
        <v>225.0</v>
      </c>
      <c r="X288" s="8">
        <f t="shared" si="4"/>
        <v>225</v>
      </c>
      <c r="Y288" s="8">
        <v>28.0</v>
      </c>
      <c r="Z288" s="17">
        <f>VLOOKUP(F288,RANGOFECHAFINAL,25,FALSE)</f>
        <v>46022</v>
      </c>
      <c r="AA288" s="8" t="s">
        <v>1382</v>
      </c>
      <c r="AB288" s="8" t="s">
        <v>41</v>
      </c>
      <c r="AC288" s="8" t="s">
        <v>42</v>
      </c>
      <c r="AD288" s="7"/>
    </row>
    <row r="289">
      <c r="A289" s="7"/>
      <c r="B289" s="7" t="s">
        <v>581</v>
      </c>
      <c r="C289" s="7" t="s">
        <v>1383</v>
      </c>
      <c r="D289" s="7" t="s">
        <v>32</v>
      </c>
      <c r="E289" s="8" t="s">
        <v>583</v>
      </c>
      <c r="F289" s="51" t="s">
        <v>1384</v>
      </c>
      <c r="G289" s="9" t="s">
        <v>1385</v>
      </c>
      <c r="H289" s="8" t="s">
        <v>1386</v>
      </c>
      <c r="I289" s="24">
        <v>1.073519307E9</v>
      </c>
      <c r="J289" s="10">
        <v>4.61489E7</v>
      </c>
      <c r="K289" s="11"/>
      <c r="L289" s="10">
        <f t="shared" si="5"/>
        <v>46148900</v>
      </c>
      <c r="M289" s="12">
        <f>IFERROR(__xludf.DUMMYFUNCTION("+N289/L289"),0.15238094515795608)</f>
        <v>0.1523809452</v>
      </c>
      <c r="N289" s="13">
        <v>7032213.0</v>
      </c>
      <c r="O289" s="13">
        <f t="shared" si="2"/>
        <v>39116687</v>
      </c>
      <c r="P289" s="8" t="s">
        <v>197</v>
      </c>
      <c r="Q289" s="8">
        <v>7325.0</v>
      </c>
      <c r="R289" s="8">
        <v>31825.0</v>
      </c>
      <c r="S289" s="14">
        <v>45805.0</v>
      </c>
      <c r="T289" s="15"/>
      <c r="U289" s="14">
        <v>45776.0</v>
      </c>
      <c r="V289" s="8"/>
      <c r="W289" s="8">
        <v>213.0</v>
      </c>
      <c r="X289" s="8">
        <f t="shared" si="4"/>
        <v>213</v>
      </c>
      <c r="Y289" s="8">
        <v>34.56790123</v>
      </c>
      <c r="Z289" s="17">
        <f>VLOOKUP(F289,RANGOFECHAFINAL,25,FALSE)</f>
        <v>46019</v>
      </c>
      <c r="AA289" s="8" t="s">
        <v>1113</v>
      </c>
      <c r="AB289" s="8" t="s">
        <v>113</v>
      </c>
      <c r="AC289" s="8" t="s">
        <v>42</v>
      </c>
      <c r="AD289" s="7"/>
    </row>
    <row r="290">
      <c r="A290" s="7"/>
      <c r="B290" s="7" t="s">
        <v>581</v>
      </c>
      <c r="C290" s="7" t="s">
        <v>1387</v>
      </c>
      <c r="D290" s="7" t="s">
        <v>32</v>
      </c>
      <c r="E290" s="8" t="s">
        <v>583</v>
      </c>
      <c r="F290" s="51" t="s">
        <v>1388</v>
      </c>
      <c r="G290" s="9" t="s">
        <v>1389</v>
      </c>
      <c r="H290" s="8" t="s">
        <v>1390</v>
      </c>
      <c r="I290" s="24">
        <v>1.2750637E7</v>
      </c>
      <c r="J290" s="10">
        <v>5.18E7</v>
      </c>
      <c r="K290" s="11">
        <v>-2100000.0</v>
      </c>
      <c r="L290" s="10">
        <f t="shared" si="5"/>
        <v>49700000</v>
      </c>
      <c r="M290" s="12">
        <f>IFERROR(__xludf.DUMMYFUNCTION("+N290/L290"),0.15492957746478872)</f>
        <v>0.1549295775</v>
      </c>
      <c r="N290" s="13">
        <v>7700000.0</v>
      </c>
      <c r="O290" s="13">
        <f t="shared" si="2"/>
        <v>42000000</v>
      </c>
      <c r="P290" s="8" t="s">
        <v>730</v>
      </c>
      <c r="Q290" s="8">
        <v>35125.0</v>
      </c>
      <c r="R290" s="8">
        <v>42025.0</v>
      </c>
      <c r="S290" s="14">
        <v>45800.0</v>
      </c>
      <c r="T290" s="55"/>
      <c r="U290" s="14">
        <v>45805.0</v>
      </c>
      <c r="V290" s="8"/>
      <c r="W290" s="8">
        <v>217.0</v>
      </c>
      <c r="X290" s="8">
        <v>217.0</v>
      </c>
      <c r="Y290" s="8">
        <v>25.34562212</v>
      </c>
      <c r="Z290" s="17">
        <f>VLOOKUP(F290,RANGOFECHAFINAL,25,FALSE)</f>
        <v>46022</v>
      </c>
      <c r="AA290" s="8" t="s">
        <v>1391</v>
      </c>
      <c r="AB290" s="8" t="s">
        <v>106</v>
      </c>
      <c r="AC290" s="8" t="s">
        <v>42</v>
      </c>
      <c r="AD290" s="7"/>
    </row>
    <row r="291">
      <c r="A291" s="7"/>
      <c r="B291" s="7" t="s">
        <v>581</v>
      </c>
      <c r="C291" s="7" t="s">
        <v>1392</v>
      </c>
      <c r="D291" s="7" t="s">
        <v>32</v>
      </c>
      <c r="E291" s="8" t="s">
        <v>583</v>
      </c>
      <c r="F291" s="51" t="s">
        <v>1393</v>
      </c>
      <c r="G291" s="9" t="s">
        <v>1394</v>
      </c>
      <c r="H291" s="8" t="s">
        <v>1395</v>
      </c>
      <c r="I291" s="24">
        <v>7.9388305E7</v>
      </c>
      <c r="J291" s="10">
        <v>6.8036822E7</v>
      </c>
      <c r="K291" s="11"/>
      <c r="L291" s="10">
        <f t="shared" si="5"/>
        <v>68036822</v>
      </c>
      <c r="M291" s="12">
        <f>IFERROR(__xludf.DUMMYFUNCTION("+N291/L291"),0.1534883713410365)</f>
        <v>0.1534883713</v>
      </c>
      <c r="N291" s="13">
        <v>1.0442861E7</v>
      </c>
      <c r="O291" s="13">
        <f t="shared" si="2"/>
        <v>57593961</v>
      </c>
      <c r="P291" s="8" t="s">
        <v>1396</v>
      </c>
      <c r="Q291" s="8">
        <v>35625.0</v>
      </c>
      <c r="R291" s="8">
        <v>42125.0</v>
      </c>
      <c r="S291" s="14">
        <v>45804.0</v>
      </c>
      <c r="T291" s="15"/>
      <c r="U291" s="14">
        <v>45805.0</v>
      </c>
      <c r="V291" s="8"/>
      <c r="W291" s="8">
        <v>217.0</v>
      </c>
      <c r="X291" s="8">
        <f t="shared" ref="X291:X414" si="6">W291+V291</f>
        <v>217</v>
      </c>
      <c r="Y291" s="8">
        <v>25.34562212</v>
      </c>
      <c r="Z291" s="17">
        <f>VLOOKUP(F291,RANGOFECHAFINAL,25,FALSE)</f>
        <v>46022</v>
      </c>
      <c r="AA291" s="8" t="s">
        <v>1397</v>
      </c>
      <c r="AB291" s="8" t="s">
        <v>537</v>
      </c>
      <c r="AC291" s="8" t="s">
        <v>42</v>
      </c>
      <c r="AD291" s="7"/>
    </row>
    <row r="292">
      <c r="A292" s="7"/>
      <c r="B292" s="7" t="s">
        <v>581</v>
      </c>
      <c r="C292" s="7" t="s">
        <v>1398</v>
      </c>
      <c r="D292" s="7" t="s">
        <v>32</v>
      </c>
      <c r="E292" s="8" t="s">
        <v>1030</v>
      </c>
      <c r="F292" s="51" t="s">
        <v>1399</v>
      </c>
      <c r="G292" s="9" t="s">
        <v>1400</v>
      </c>
      <c r="H292" s="8" t="s">
        <v>1401</v>
      </c>
      <c r="I292" s="24">
        <v>8.60007386E8</v>
      </c>
      <c r="J292" s="10">
        <v>8.2742E7</v>
      </c>
      <c r="K292" s="11"/>
      <c r="L292" s="10">
        <f t="shared" si="5"/>
        <v>82742000</v>
      </c>
      <c r="M292" s="12">
        <f>IFERROR(__xludf.DUMMYFUNCTION("+N292/L292"),0.0)</f>
        <v>0</v>
      </c>
      <c r="N292" s="13">
        <v>0.0</v>
      </c>
      <c r="O292" s="13">
        <f t="shared" si="2"/>
        <v>82742000</v>
      </c>
      <c r="P292" s="8" t="s">
        <v>1402</v>
      </c>
      <c r="Q292" s="8">
        <v>31225.0</v>
      </c>
      <c r="R292" s="8">
        <v>43325.0</v>
      </c>
      <c r="S292" s="14">
        <v>45807.0</v>
      </c>
      <c r="T292" s="14">
        <v>45817.0</v>
      </c>
      <c r="U292" s="14">
        <v>45817.0</v>
      </c>
      <c r="V292" s="8"/>
      <c r="W292" s="8">
        <v>205.0</v>
      </c>
      <c r="X292" s="8">
        <f t="shared" si="6"/>
        <v>205</v>
      </c>
      <c r="Y292" s="8">
        <v>20.97560976</v>
      </c>
      <c r="Z292" s="17">
        <f>VLOOKUP(F292,RANGOFECHAFINAL,25,FALSE)</f>
        <v>46022</v>
      </c>
      <c r="AA292" s="8" t="s">
        <v>496</v>
      </c>
      <c r="AB292" s="8" t="s">
        <v>41</v>
      </c>
      <c r="AC292" s="8" t="s">
        <v>42</v>
      </c>
      <c r="AD292" s="7"/>
    </row>
    <row r="293">
      <c r="A293" s="7"/>
      <c r="B293" s="7" t="s">
        <v>581</v>
      </c>
      <c r="C293" s="7" t="s">
        <v>1403</v>
      </c>
      <c r="D293" s="7" t="s">
        <v>32</v>
      </c>
      <c r="E293" s="8" t="s">
        <v>583</v>
      </c>
      <c r="F293" s="51" t="s">
        <v>1404</v>
      </c>
      <c r="G293" s="9" t="s">
        <v>1405</v>
      </c>
      <c r="H293" s="8" t="s">
        <v>1406</v>
      </c>
      <c r="I293" s="24">
        <v>1.018491647E9</v>
      </c>
      <c r="J293" s="10">
        <v>2.3326695E7</v>
      </c>
      <c r="K293" s="11"/>
      <c r="L293" s="10">
        <f t="shared" si="5"/>
        <v>23326695</v>
      </c>
      <c r="M293" s="12">
        <f>IFERROR(__xludf.DUMMYFUNCTION("+N293/L293"),0.11737089201877934)</f>
        <v>0.117370892</v>
      </c>
      <c r="N293" s="13">
        <v>2737875.0</v>
      </c>
      <c r="O293" s="13">
        <f t="shared" si="2"/>
        <v>20588820</v>
      </c>
      <c r="P293" s="8" t="s">
        <v>91</v>
      </c>
      <c r="Q293" s="8">
        <v>34525.0</v>
      </c>
      <c r="R293" s="8">
        <v>43725.0</v>
      </c>
      <c r="S293" s="19">
        <v>45812.0</v>
      </c>
      <c r="T293" s="15"/>
      <c r="U293" s="14">
        <v>45814.0</v>
      </c>
      <c r="V293" s="8"/>
      <c r="W293" s="8">
        <v>208.0</v>
      </c>
      <c r="X293" s="8">
        <f t="shared" si="6"/>
        <v>208</v>
      </c>
      <c r="Y293" s="8">
        <v>22.11538462</v>
      </c>
      <c r="Z293" s="17">
        <f>VLOOKUP(F293,RANGOFECHAFINAL,25,FALSE)</f>
        <v>46022</v>
      </c>
      <c r="AA293" s="8" t="s">
        <v>164</v>
      </c>
      <c r="AB293" s="8" t="s">
        <v>93</v>
      </c>
      <c r="AC293" s="8" t="s">
        <v>42</v>
      </c>
      <c r="AD293" s="7"/>
    </row>
    <row r="294">
      <c r="A294" s="7"/>
      <c r="B294" s="7" t="s">
        <v>581</v>
      </c>
      <c r="C294" s="7" t="s">
        <v>1407</v>
      </c>
      <c r="D294" s="7" t="s">
        <v>32</v>
      </c>
      <c r="E294" s="8" t="s">
        <v>583</v>
      </c>
      <c r="F294" s="51" t="s">
        <v>1408</v>
      </c>
      <c r="G294" s="9" t="s">
        <v>1405</v>
      </c>
      <c r="H294" s="8" t="s">
        <v>1409</v>
      </c>
      <c r="I294" s="24">
        <v>1.007536412E9</v>
      </c>
      <c r="J294" s="10">
        <v>2.3326696E7</v>
      </c>
      <c r="K294" s="11"/>
      <c r="L294" s="10">
        <f t="shared" si="5"/>
        <v>23326696</v>
      </c>
      <c r="M294" s="12">
        <f>IFERROR(__xludf.DUMMYFUNCTION("+N294/L294"),0.11737088698716698)</f>
        <v>0.117370887</v>
      </c>
      <c r="N294" s="13">
        <v>2737875.0</v>
      </c>
      <c r="O294" s="13">
        <f t="shared" si="2"/>
        <v>20588821</v>
      </c>
      <c r="P294" s="8" t="s">
        <v>91</v>
      </c>
      <c r="Q294" s="8">
        <v>34025.0</v>
      </c>
      <c r="R294" s="8">
        <v>43625.0</v>
      </c>
      <c r="S294" s="14">
        <v>45812.0</v>
      </c>
      <c r="T294" s="15"/>
      <c r="U294" s="14">
        <v>45814.0</v>
      </c>
      <c r="V294" s="8"/>
      <c r="W294" s="8">
        <v>208.0</v>
      </c>
      <c r="X294" s="8">
        <f t="shared" si="6"/>
        <v>208</v>
      </c>
      <c r="Y294" s="8">
        <v>22.11538462</v>
      </c>
      <c r="Z294" s="17">
        <f>VLOOKUP(F294,RANGOFECHAFINAL,25,FALSE)</f>
        <v>46022</v>
      </c>
      <c r="AA294" s="8" t="s">
        <v>1410</v>
      </c>
      <c r="AB294" s="8" t="s">
        <v>93</v>
      </c>
      <c r="AC294" s="8" t="s">
        <v>42</v>
      </c>
      <c r="AD294" s="7"/>
    </row>
    <row r="295">
      <c r="A295" s="7"/>
      <c r="B295" s="7" t="s">
        <v>581</v>
      </c>
      <c r="C295" s="7" t="s">
        <v>1411</v>
      </c>
      <c r="D295" s="7" t="s">
        <v>32</v>
      </c>
      <c r="E295" s="8" t="s">
        <v>583</v>
      </c>
      <c r="F295" s="51" t="s">
        <v>1412</v>
      </c>
      <c r="G295" s="9" t="s">
        <v>1405</v>
      </c>
      <c r="H295" s="8" t="s">
        <v>1413</v>
      </c>
      <c r="I295" s="24">
        <v>1.101697356E9</v>
      </c>
      <c r="J295" s="10">
        <v>2.3326695E7</v>
      </c>
      <c r="K295" s="11"/>
      <c r="L295" s="10">
        <f t="shared" si="5"/>
        <v>23326695</v>
      </c>
      <c r="M295" s="12">
        <f>IFERROR(__xludf.DUMMYFUNCTION("+N295/L295"),0.08450704225352113)</f>
        <v>0.08450704225</v>
      </c>
      <c r="N295" s="13">
        <v>1971270.0</v>
      </c>
      <c r="O295" s="13">
        <f t="shared" si="2"/>
        <v>21355425</v>
      </c>
      <c r="P295" s="8" t="s">
        <v>91</v>
      </c>
      <c r="Q295" s="8">
        <v>33125.0</v>
      </c>
      <c r="R295" s="8">
        <v>44125.0</v>
      </c>
      <c r="S295" s="14">
        <v>45818.0</v>
      </c>
      <c r="T295" s="15"/>
      <c r="U295" s="14">
        <v>45821.0</v>
      </c>
      <c r="V295" s="8"/>
      <c r="W295" s="8">
        <v>201.0</v>
      </c>
      <c r="X295" s="8">
        <f t="shared" si="6"/>
        <v>201</v>
      </c>
      <c r="Y295" s="8">
        <v>19.40298507</v>
      </c>
      <c r="Z295" s="17">
        <v>46022.0</v>
      </c>
      <c r="AA295" s="8" t="s">
        <v>1410</v>
      </c>
      <c r="AB295" s="8" t="s">
        <v>93</v>
      </c>
      <c r="AC295" s="8" t="s">
        <v>42</v>
      </c>
      <c r="AD295" s="7"/>
    </row>
    <row r="296">
      <c r="A296" s="7"/>
      <c r="B296" s="7" t="s">
        <v>581</v>
      </c>
      <c r="C296" s="7" t="s">
        <v>1414</v>
      </c>
      <c r="D296" s="7" t="s">
        <v>32</v>
      </c>
      <c r="E296" s="8" t="s">
        <v>583</v>
      </c>
      <c r="F296" s="51" t="s">
        <v>1415</v>
      </c>
      <c r="G296" s="9" t="s">
        <v>1405</v>
      </c>
      <c r="H296" s="8" t="s">
        <v>1416</v>
      </c>
      <c r="I296" s="24">
        <v>1.11680865E9</v>
      </c>
      <c r="J296" s="10">
        <v>2.3326696E7</v>
      </c>
      <c r="K296" s="11"/>
      <c r="L296" s="10">
        <f t="shared" si="5"/>
        <v>23326696</v>
      </c>
      <c r="M296" s="12">
        <f>IFERROR(__xludf.DUMMYFUNCTION("+N296/L296"),0.0)</f>
        <v>0</v>
      </c>
      <c r="N296" s="13">
        <v>0.0</v>
      </c>
      <c r="O296" s="13">
        <f t="shared" si="2"/>
        <v>23326696</v>
      </c>
      <c r="P296" s="8" t="s">
        <v>91</v>
      </c>
      <c r="Q296" s="8">
        <v>33925.0</v>
      </c>
      <c r="R296" s="8">
        <v>45825.0</v>
      </c>
      <c r="S296" s="14">
        <v>45828.0</v>
      </c>
      <c r="T296" s="15"/>
      <c r="U296" s="14">
        <v>45833.0</v>
      </c>
      <c r="V296" s="8"/>
      <c r="W296" s="8">
        <v>189.0</v>
      </c>
      <c r="X296" s="8">
        <f t="shared" si="6"/>
        <v>189</v>
      </c>
      <c r="Y296" s="8">
        <v>14.28571429</v>
      </c>
      <c r="Z296" s="17">
        <v>46022.0</v>
      </c>
      <c r="AA296" s="8" t="s">
        <v>1410</v>
      </c>
      <c r="AB296" s="8" t="s">
        <v>93</v>
      </c>
      <c r="AC296" s="8" t="s">
        <v>42</v>
      </c>
      <c r="AD296" s="7"/>
    </row>
    <row r="297">
      <c r="A297" s="7"/>
      <c r="B297" s="7" t="s">
        <v>581</v>
      </c>
      <c r="C297" s="7" t="s">
        <v>1417</v>
      </c>
      <c r="D297" s="7" t="s">
        <v>32</v>
      </c>
      <c r="E297" s="8" t="s">
        <v>520</v>
      </c>
      <c r="F297" s="51" t="s">
        <v>1418</v>
      </c>
      <c r="G297" s="9" t="s">
        <v>1419</v>
      </c>
      <c r="H297" s="8" t="s">
        <v>1420</v>
      </c>
      <c r="I297" s="8">
        <v>7.9699729E7</v>
      </c>
      <c r="J297" s="10">
        <v>6.667584E7</v>
      </c>
      <c r="K297" s="11"/>
      <c r="L297" s="10">
        <f t="shared" si="5"/>
        <v>66675840</v>
      </c>
      <c r="M297" s="12">
        <f>IFERROR(__xludf.DUMMYFUNCTION("+N297/L297"),0.026041666666666668)</f>
        <v>0.02604166667</v>
      </c>
      <c r="N297" s="13">
        <v>1736350.0</v>
      </c>
      <c r="O297" s="13">
        <f t="shared" si="2"/>
        <v>64939490</v>
      </c>
      <c r="P297" s="8" t="s">
        <v>384</v>
      </c>
      <c r="Q297" s="8">
        <v>30625.0</v>
      </c>
      <c r="R297" s="8">
        <v>46025.0</v>
      </c>
      <c r="S297" s="14">
        <v>45832.0</v>
      </c>
      <c r="T297" s="15"/>
      <c r="U297" s="14">
        <v>45834.0</v>
      </c>
      <c r="V297" s="8"/>
      <c r="W297" s="8">
        <v>188.0</v>
      </c>
      <c r="X297" s="8">
        <f t="shared" si="6"/>
        <v>188</v>
      </c>
      <c r="Y297" s="8">
        <v>13.82978723</v>
      </c>
      <c r="Z297" s="17">
        <v>46022.0</v>
      </c>
      <c r="AA297" s="8" t="s">
        <v>1421</v>
      </c>
      <c r="AB297" s="8" t="s">
        <v>390</v>
      </c>
      <c r="AC297" s="8" t="s">
        <v>42</v>
      </c>
      <c r="AD297" s="7"/>
    </row>
    <row r="298">
      <c r="A298" s="7"/>
      <c r="B298" s="7" t="s">
        <v>581</v>
      </c>
      <c r="C298" s="7" t="s">
        <v>1422</v>
      </c>
      <c r="D298" s="7" t="s">
        <v>32</v>
      </c>
      <c r="E298" s="8" t="s">
        <v>520</v>
      </c>
      <c r="F298" s="51" t="s">
        <v>1423</v>
      </c>
      <c r="G298" s="9" t="s">
        <v>1405</v>
      </c>
      <c r="H298" s="8" t="s">
        <v>1424</v>
      </c>
      <c r="I298" s="29">
        <v>1.099217197E9</v>
      </c>
      <c r="J298" s="10">
        <v>2.1355425E7</v>
      </c>
      <c r="K298" s="11"/>
      <c r="L298" s="10">
        <f t="shared" si="5"/>
        <v>21355425</v>
      </c>
      <c r="M298" s="12">
        <f>IFERROR(__xludf.DUMMYFUNCTION("+N298/L298"),0.02564102564102564)</f>
        <v>0.02564102564</v>
      </c>
      <c r="N298" s="13">
        <v>547575.0</v>
      </c>
      <c r="O298" s="13">
        <f t="shared" si="2"/>
        <v>20807850</v>
      </c>
      <c r="P298" s="8" t="s">
        <v>91</v>
      </c>
      <c r="Q298" s="8">
        <v>33225.0</v>
      </c>
      <c r="R298" s="8">
        <v>46125.0</v>
      </c>
      <c r="S298" s="14">
        <v>45832.0</v>
      </c>
      <c r="T298" s="15"/>
      <c r="U298" s="14">
        <v>45834.0</v>
      </c>
      <c r="V298" s="8"/>
      <c r="W298" s="8">
        <v>188.0</v>
      </c>
      <c r="X298" s="8">
        <f t="shared" si="6"/>
        <v>188</v>
      </c>
      <c r="Y298" s="8">
        <v>13.82978723</v>
      </c>
      <c r="Z298" s="17">
        <v>46022.0</v>
      </c>
      <c r="AA298" s="8" t="s">
        <v>1410</v>
      </c>
      <c r="AB298" s="8" t="s">
        <v>93</v>
      </c>
      <c r="AC298" s="8" t="s">
        <v>42</v>
      </c>
      <c r="AD298" s="7"/>
    </row>
    <row r="299">
      <c r="A299" s="7"/>
      <c r="B299" s="7" t="s">
        <v>581</v>
      </c>
      <c r="C299" s="7" t="s">
        <v>1425</v>
      </c>
      <c r="D299" s="7" t="s">
        <v>32</v>
      </c>
      <c r="E299" s="8" t="s">
        <v>520</v>
      </c>
      <c r="F299" s="52" t="s">
        <v>1426</v>
      </c>
      <c r="G299" s="9" t="s">
        <v>1427</v>
      </c>
      <c r="H299" s="9" t="s">
        <v>1428</v>
      </c>
      <c r="I299" s="29">
        <v>1.098824335E9</v>
      </c>
      <c r="J299" s="10">
        <v>2.39778E7</v>
      </c>
      <c r="K299" s="11"/>
      <c r="L299" s="10">
        <f t="shared" si="5"/>
        <v>23977800</v>
      </c>
      <c r="M299" s="12">
        <f>IFERROR(__xludf.DUMMYFUNCTION("+N299/L299"),0.0)</f>
        <v>0</v>
      </c>
      <c r="N299" s="13">
        <v>0.0</v>
      </c>
      <c r="O299" s="13">
        <f t="shared" si="2"/>
        <v>23977800</v>
      </c>
      <c r="P299" s="57" t="s">
        <v>228</v>
      </c>
      <c r="Q299" s="8">
        <v>35425.0</v>
      </c>
      <c r="R299" s="8">
        <v>47225.0</v>
      </c>
      <c r="S299" s="14">
        <v>45840.0</v>
      </c>
      <c r="T299" s="55"/>
      <c r="U299" s="14">
        <v>45842.0</v>
      </c>
      <c r="V299" s="16"/>
      <c r="W299" s="8">
        <v>180.0</v>
      </c>
      <c r="X299" s="56">
        <f t="shared" si="6"/>
        <v>180</v>
      </c>
      <c r="Y299" s="8">
        <v>10.0</v>
      </c>
      <c r="Z299" s="17">
        <v>46022.0</v>
      </c>
      <c r="AA299" s="8" t="s">
        <v>1429</v>
      </c>
      <c r="AB299" s="8" t="s">
        <v>100</v>
      </c>
      <c r="AC299" s="8" t="s">
        <v>42</v>
      </c>
      <c r="AD299" s="7"/>
    </row>
    <row r="300">
      <c r="A300" s="7"/>
      <c r="B300" s="7" t="s">
        <v>581</v>
      </c>
      <c r="C300" s="7" t="s">
        <v>1430</v>
      </c>
      <c r="D300" s="7" t="s">
        <v>32</v>
      </c>
      <c r="E300" s="8" t="s">
        <v>520</v>
      </c>
      <c r="F300" s="52" t="s">
        <v>1431</v>
      </c>
      <c r="G300" s="9" t="s">
        <v>1405</v>
      </c>
      <c r="H300" s="9" t="s">
        <v>1432</v>
      </c>
      <c r="I300" s="29">
        <v>1.101760699E9</v>
      </c>
      <c r="J300" s="10">
        <v>1.905561E7</v>
      </c>
      <c r="K300" s="11"/>
      <c r="L300" s="10">
        <f t="shared" si="5"/>
        <v>19055610</v>
      </c>
      <c r="M300" s="12">
        <f>IFERROR(__xludf.DUMMYFUNCTION("+N300/L300"),0.0)</f>
        <v>0</v>
      </c>
      <c r="N300" s="13">
        <v>0.0</v>
      </c>
      <c r="O300" s="13">
        <f t="shared" si="2"/>
        <v>19055610</v>
      </c>
      <c r="P300" s="57" t="s">
        <v>91</v>
      </c>
      <c r="Q300" s="32">
        <v>33025.0</v>
      </c>
      <c r="R300" s="32">
        <v>47925.0</v>
      </c>
      <c r="S300" s="33">
        <v>45845.0</v>
      </c>
      <c r="T300" s="15"/>
      <c r="U300" s="14">
        <v>45846.0</v>
      </c>
      <c r="V300" s="16"/>
      <c r="W300" s="8">
        <v>176.0</v>
      </c>
      <c r="X300" s="56">
        <f t="shared" si="6"/>
        <v>176</v>
      </c>
      <c r="Y300" s="8">
        <v>7.954545455</v>
      </c>
      <c r="Z300" s="17">
        <v>46022.0</v>
      </c>
      <c r="AA300" s="8" t="s">
        <v>92</v>
      </c>
      <c r="AB300" s="8" t="s">
        <v>93</v>
      </c>
      <c r="AC300" s="8" t="s">
        <v>42</v>
      </c>
      <c r="AD300" s="7"/>
    </row>
    <row r="301" hidden="1">
      <c r="A301" s="7"/>
      <c r="B301" s="8" t="s">
        <v>78</v>
      </c>
      <c r="C301" s="8" t="s">
        <v>1433</v>
      </c>
      <c r="D301" s="8" t="s">
        <v>80</v>
      </c>
      <c r="E301" s="8" t="s">
        <v>81</v>
      </c>
      <c r="F301" s="58" t="s">
        <v>1434</v>
      </c>
      <c r="G301" s="9" t="s">
        <v>1435</v>
      </c>
      <c r="H301" s="9" t="s">
        <v>1436</v>
      </c>
      <c r="I301" s="29">
        <v>9.01890648E8</v>
      </c>
      <c r="J301" s="10">
        <v>1.73535285E8</v>
      </c>
      <c r="K301" s="11"/>
      <c r="L301" s="10">
        <f t="shared" si="5"/>
        <v>173535285</v>
      </c>
      <c r="M301" s="12">
        <f>IFERROR(__xludf.DUMMYFUNCTION("+N301/L301"),1.0)</f>
        <v>1</v>
      </c>
      <c r="N301" s="13">
        <v>1.73535285E8</v>
      </c>
      <c r="O301" s="13">
        <f t="shared" si="2"/>
        <v>0</v>
      </c>
      <c r="P301" s="57" t="s">
        <v>367</v>
      </c>
      <c r="Q301" s="32">
        <v>36725.0</v>
      </c>
      <c r="R301" s="32">
        <v>46325.0</v>
      </c>
      <c r="S301" s="33">
        <v>45834.0</v>
      </c>
      <c r="T301" s="19">
        <v>45846.0</v>
      </c>
      <c r="U301" s="19">
        <v>45846.0</v>
      </c>
      <c r="V301" s="16"/>
      <c r="W301" s="8">
        <v>360.0</v>
      </c>
      <c r="X301" s="56">
        <f t="shared" si="6"/>
        <v>360</v>
      </c>
      <c r="Y301" s="8">
        <v>4.022988506</v>
      </c>
      <c r="Z301" s="17">
        <v>46194.0</v>
      </c>
      <c r="AA301" s="59" t="s">
        <v>1437</v>
      </c>
      <c r="AB301" s="8" t="s">
        <v>193</v>
      </c>
      <c r="AC301" s="8" t="s">
        <v>42</v>
      </c>
      <c r="AD301" s="7"/>
    </row>
    <row r="302">
      <c r="A302" s="7"/>
      <c r="B302" s="7" t="s">
        <v>581</v>
      </c>
      <c r="C302" s="7" t="s">
        <v>1438</v>
      </c>
      <c r="D302" s="7" t="s">
        <v>32</v>
      </c>
      <c r="E302" s="8" t="s">
        <v>520</v>
      </c>
      <c r="F302" s="52" t="s">
        <v>1439</v>
      </c>
      <c r="G302" s="9" t="s">
        <v>1405</v>
      </c>
      <c r="H302" s="9" t="s">
        <v>1440</v>
      </c>
      <c r="I302" s="29">
        <v>1.096958239E9</v>
      </c>
      <c r="J302" s="10">
        <v>1.97127E7</v>
      </c>
      <c r="K302" s="11"/>
      <c r="L302" s="10">
        <f t="shared" si="5"/>
        <v>19712700</v>
      </c>
      <c r="M302" s="12">
        <f>IFERROR(__xludf.DUMMYFUNCTION("+N302/L302"),0.0)</f>
        <v>0</v>
      </c>
      <c r="N302" s="13">
        <v>0.0</v>
      </c>
      <c r="O302" s="13">
        <f t="shared" si="2"/>
        <v>19712700</v>
      </c>
      <c r="P302" s="57" t="s">
        <v>91</v>
      </c>
      <c r="Q302" s="32">
        <v>37925.0</v>
      </c>
      <c r="R302" s="32">
        <v>48025.0</v>
      </c>
      <c r="S302" s="33">
        <v>45847.0</v>
      </c>
      <c r="T302" s="15"/>
      <c r="U302" s="14">
        <v>45848.0</v>
      </c>
      <c r="V302" s="16"/>
      <c r="W302" s="8">
        <v>174.0</v>
      </c>
      <c r="X302" s="56">
        <f t="shared" si="6"/>
        <v>174</v>
      </c>
      <c r="Y302" s="8">
        <v>6.896551724</v>
      </c>
      <c r="Z302" s="17">
        <v>46022.0</v>
      </c>
      <c r="AA302" s="8" t="s">
        <v>1441</v>
      </c>
      <c r="AB302" s="8" t="s">
        <v>93</v>
      </c>
      <c r="AC302" s="8" t="s">
        <v>42</v>
      </c>
      <c r="AD302" s="7"/>
    </row>
    <row r="303">
      <c r="A303" s="7"/>
      <c r="B303" s="7" t="s">
        <v>581</v>
      </c>
      <c r="C303" s="7" t="s">
        <v>1442</v>
      </c>
      <c r="D303" s="7" t="s">
        <v>32</v>
      </c>
      <c r="E303" s="8" t="s">
        <v>520</v>
      </c>
      <c r="F303" s="52" t="s">
        <v>1443</v>
      </c>
      <c r="G303" s="9" t="s">
        <v>1444</v>
      </c>
      <c r="H303" s="9" t="s">
        <v>1445</v>
      </c>
      <c r="I303" s="29">
        <v>1.015443192E9</v>
      </c>
      <c r="J303" s="10">
        <v>2.39778E7</v>
      </c>
      <c r="K303" s="11"/>
      <c r="L303" s="10">
        <f t="shared" si="5"/>
        <v>23977800</v>
      </c>
      <c r="M303" s="12">
        <f>IFERROR(__xludf.DUMMYFUNCTION("+N303/L303"),0.0)</f>
        <v>0</v>
      </c>
      <c r="N303" s="13">
        <v>0.0</v>
      </c>
      <c r="O303" s="13">
        <f t="shared" si="2"/>
        <v>23977800</v>
      </c>
      <c r="P303" s="57" t="s">
        <v>91</v>
      </c>
      <c r="Q303" s="32">
        <v>48125.0</v>
      </c>
      <c r="R303" s="32">
        <v>37825.0</v>
      </c>
      <c r="S303" s="33">
        <v>45847.0</v>
      </c>
      <c r="T303" s="15"/>
      <c r="U303" s="14">
        <v>45848.0</v>
      </c>
      <c r="V303" s="16"/>
      <c r="W303" s="8">
        <v>180.0</v>
      </c>
      <c r="X303" s="56">
        <f t="shared" si="6"/>
        <v>180</v>
      </c>
      <c r="Y303" s="8">
        <v>6.896551724</v>
      </c>
      <c r="Z303" s="17">
        <v>46022.0</v>
      </c>
      <c r="AA303" s="8" t="s">
        <v>874</v>
      </c>
      <c r="AB303" s="8" t="s">
        <v>390</v>
      </c>
      <c r="AC303" s="8" t="s">
        <v>42</v>
      </c>
      <c r="AD303" s="7"/>
    </row>
    <row r="304">
      <c r="A304" s="7"/>
      <c r="B304" s="7"/>
      <c r="C304" s="7"/>
      <c r="D304" s="7"/>
      <c r="E304" s="8"/>
      <c r="G304" s="9"/>
      <c r="H304" s="60"/>
      <c r="I304" s="53"/>
      <c r="J304" s="10"/>
      <c r="K304" s="11"/>
      <c r="L304" s="10">
        <f t="shared" si="5"/>
        <v>0</v>
      </c>
      <c r="M304" s="12" t="str">
        <f>IFERROR(__xludf.DUMMYFUNCTION("+N304/L304"),"#N/A")</f>
        <v>#N/A</v>
      </c>
      <c r="N304" s="13" t="str">
        <f>VLOOKUP(I304,PAGOSTOTALES,18,FALSE)</f>
        <v>#N/A</v>
      </c>
      <c r="O304" s="13"/>
      <c r="P304" s="54"/>
      <c r="Q304" s="61"/>
      <c r="R304" s="61"/>
      <c r="S304" s="62"/>
      <c r="T304" s="15"/>
      <c r="U304" s="14"/>
      <c r="V304" s="16"/>
      <c r="W304" s="8"/>
      <c r="X304" s="23">
        <f t="shared" si="6"/>
        <v>0</v>
      </c>
      <c r="Y304" s="8"/>
      <c r="Z304" s="8" t="str">
        <f>VLOOKUP(F304,RANGOFECHAFINAL,25,FALSE)</f>
        <v>#N/A</v>
      </c>
      <c r="AA304" s="8"/>
      <c r="AB304" s="8"/>
      <c r="AC304" s="8"/>
      <c r="AD304" s="7"/>
    </row>
    <row r="305">
      <c r="A305" s="7"/>
      <c r="B305" s="7"/>
      <c r="C305" s="7"/>
      <c r="D305" s="7"/>
      <c r="E305" s="8"/>
      <c r="G305" s="9"/>
      <c r="H305" s="60"/>
      <c r="I305" s="53"/>
      <c r="J305" s="10"/>
      <c r="K305" s="11"/>
      <c r="L305" s="10">
        <f t="shared" si="5"/>
        <v>0</v>
      </c>
      <c r="M305" s="12" t="str">
        <f>IFERROR(__xludf.DUMMYFUNCTION("+N305/L305"),"#N/A")</f>
        <v>#N/A</v>
      </c>
      <c r="N305" s="13" t="str">
        <f>VLOOKUP(I305,PAGOSTOTALES,18,FALSE)</f>
        <v>#N/A</v>
      </c>
      <c r="O305" s="13"/>
      <c r="P305" s="54"/>
      <c r="Q305" s="61"/>
      <c r="R305" s="61"/>
      <c r="S305" s="62"/>
      <c r="T305" s="55"/>
      <c r="U305" s="14"/>
      <c r="V305" s="16"/>
      <c r="W305" s="8"/>
      <c r="X305" s="23">
        <f t="shared" si="6"/>
        <v>0</v>
      </c>
      <c r="Y305" s="8"/>
      <c r="Z305" s="8" t="str">
        <f>VLOOKUP(F305,RANGOFECHAFINAL,25,FALSE)</f>
        <v>#N/A</v>
      </c>
      <c r="AA305" s="8"/>
      <c r="AB305" s="8"/>
      <c r="AC305" s="8"/>
      <c r="AD305" s="7"/>
    </row>
    <row r="306">
      <c r="A306" s="7"/>
      <c r="B306" s="7"/>
      <c r="C306" s="7"/>
      <c r="D306" s="7"/>
      <c r="E306" s="8"/>
      <c r="G306" s="9"/>
      <c r="H306" s="60"/>
      <c r="I306" s="53"/>
      <c r="J306" s="10"/>
      <c r="K306" s="11"/>
      <c r="L306" s="10">
        <f t="shared" si="5"/>
        <v>0</v>
      </c>
      <c r="M306" s="12" t="str">
        <f>IFERROR(__xludf.DUMMYFUNCTION("+N306/L306"),"#N/A")</f>
        <v>#N/A</v>
      </c>
      <c r="N306" s="13" t="str">
        <f>VLOOKUP(I306,PAGOSTOTALES,18,FALSE)</f>
        <v>#N/A</v>
      </c>
      <c r="O306" s="13"/>
      <c r="P306" s="54"/>
      <c r="Q306" s="61"/>
      <c r="R306" s="61"/>
      <c r="S306" s="62"/>
      <c r="T306" s="15"/>
      <c r="U306" s="14"/>
      <c r="V306" s="16"/>
      <c r="W306" s="8"/>
      <c r="X306" s="23">
        <f t="shared" si="6"/>
        <v>0</v>
      </c>
      <c r="Y306" s="8"/>
      <c r="Z306" s="8" t="str">
        <f>VLOOKUP(F306,RANGOFECHAFINAL,25,FALSE)</f>
        <v>#N/A</v>
      </c>
      <c r="AA306" s="8"/>
      <c r="AB306" s="8"/>
      <c r="AC306" s="8"/>
      <c r="AD306" s="7"/>
    </row>
    <row r="307">
      <c r="A307" s="7"/>
      <c r="B307" s="7"/>
      <c r="C307" s="7"/>
      <c r="D307" s="7"/>
      <c r="E307" s="8"/>
      <c r="G307" s="9"/>
      <c r="H307" s="60"/>
      <c r="I307" s="53"/>
      <c r="J307" s="10"/>
      <c r="K307" s="11"/>
      <c r="L307" s="10">
        <f t="shared" si="5"/>
        <v>0</v>
      </c>
      <c r="M307" s="12" t="str">
        <f>IFERROR(__xludf.DUMMYFUNCTION("+N307/L307"),"#N/A")</f>
        <v>#N/A</v>
      </c>
      <c r="N307" s="13" t="str">
        <f>VLOOKUP(I307,PAGOSTOTALES,18,FALSE)</f>
        <v>#N/A</v>
      </c>
      <c r="O307" s="13"/>
      <c r="P307" s="54"/>
      <c r="Q307" s="61"/>
      <c r="R307" s="61"/>
      <c r="S307" s="62"/>
      <c r="T307" s="15"/>
      <c r="U307" s="14"/>
      <c r="V307" s="16"/>
      <c r="W307" s="8"/>
      <c r="X307" s="23">
        <f t="shared" si="6"/>
        <v>0</v>
      </c>
      <c r="Y307" s="8"/>
      <c r="Z307" s="8" t="str">
        <f>VLOOKUP(F307,RANGOFECHAFINAL,25,FALSE)</f>
        <v>#N/A</v>
      </c>
      <c r="AA307" s="8"/>
      <c r="AB307" s="8"/>
      <c r="AC307" s="8"/>
      <c r="AD307" s="7"/>
    </row>
    <row r="308">
      <c r="A308" s="7"/>
      <c r="B308" s="7"/>
      <c r="C308" s="7"/>
      <c r="D308" s="7"/>
      <c r="E308" s="8"/>
      <c r="G308" s="9"/>
      <c r="H308" s="60"/>
      <c r="I308" s="53"/>
      <c r="J308" s="10"/>
      <c r="K308" s="11"/>
      <c r="L308" s="10">
        <f t="shared" si="5"/>
        <v>0</v>
      </c>
      <c r="M308" s="12" t="str">
        <f>IFERROR(__xludf.DUMMYFUNCTION("+N308/L308"),"#N/A")</f>
        <v>#N/A</v>
      </c>
      <c r="N308" s="13" t="str">
        <f>VLOOKUP(I308,PAGOSTOTALES,18,FALSE)</f>
        <v>#N/A</v>
      </c>
      <c r="O308" s="13"/>
      <c r="P308" s="54"/>
      <c r="Q308" s="61"/>
      <c r="R308" s="61"/>
      <c r="S308" s="62"/>
      <c r="T308" s="15"/>
      <c r="U308" s="14"/>
      <c r="V308" s="16"/>
      <c r="W308" s="8"/>
      <c r="X308" s="23">
        <f t="shared" si="6"/>
        <v>0</v>
      </c>
      <c r="Y308" s="8"/>
      <c r="Z308" s="8" t="str">
        <f>VLOOKUP(F308,RANGOFECHAFINAL,25,FALSE)</f>
        <v>#N/A</v>
      </c>
      <c r="AA308" s="8"/>
      <c r="AB308" s="8"/>
      <c r="AC308" s="8"/>
      <c r="AD308" s="7"/>
    </row>
    <row r="309">
      <c r="A309" s="7"/>
      <c r="B309" s="7"/>
      <c r="C309" s="7"/>
      <c r="D309" s="7"/>
      <c r="E309" s="8"/>
      <c r="G309" s="9"/>
      <c r="H309" s="60"/>
      <c r="I309" s="53"/>
      <c r="J309" s="10"/>
      <c r="K309" s="11"/>
      <c r="L309" s="10">
        <f t="shared" si="5"/>
        <v>0</v>
      </c>
      <c r="M309" s="12" t="str">
        <f>IFERROR(__xludf.DUMMYFUNCTION("+N309/L309"),"#N/A")</f>
        <v>#N/A</v>
      </c>
      <c r="N309" s="13" t="str">
        <f>VLOOKUP(I309,PAGOSTOTALES,18,FALSE)</f>
        <v>#N/A</v>
      </c>
      <c r="O309" s="13"/>
      <c r="P309" s="54"/>
      <c r="Q309" s="61"/>
      <c r="R309" s="61"/>
      <c r="S309" s="62"/>
      <c r="T309" s="15"/>
      <c r="U309" s="14"/>
      <c r="V309" s="16"/>
      <c r="W309" s="8"/>
      <c r="X309" s="23">
        <f t="shared" si="6"/>
        <v>0</v>
      </c>
      <c r="Y309" s="8"/>
      <c r="Z309" s="8" t="str">
        <f>VLOOKUP(F309,RANGOFECHAFINAL,25,FALSE)</f>
        <v>#N/A</v>
      </c>
      <c r="AA309" s="8"/>
      <c r="AB309" s="8"/>
      <c r="AC309" s="8"/>
      <c r="AD309" s="7"/>
    </row>
    <row r="310">
      <c r="A310" s="7"/>
      <c r="B310" s="7"/>
      <c r="C310" s="7"/>
      <c r="D310" s="7"/>
      <c r="E310" s="8"/>
      <c r="G310" s="9"/>
      <c r="H310" s="60"/>
      <c r="I310" s="53"/>
      <c r="J310" s="10"/>
      <c r="K310" s="11"/>
      <c r="L310" s="10">
        <f t="shared" si="5"/>
        <v>0</v>
      </c>
      <c r="M310" s="12" t="str">
        <f>IFERROR(__xludf.DUMMYFUNCTION("+N310/L310"),"#N/A")</f>
        <v>#N/A</v>
      </c>
      <c r="N310" s="13" t="str">
        <f>VLOOKUP(I310,PAGOSTOTALES,18,FALSE)</f>
        <v>#N/A</v>
      </c>
      <c r="O310" s="13"/>
      <c r="P310" s="54"/>
      <c r="Q310" s="61"/>
      <c r="R310" s="61"/>
      <c r="S310" s="62"/>
      <c r="T310" s="15"/>
      <c r="U310" s="14"/>
      <c r="V310" s="16"/>
      <c r="W310" s="8"/>
      <c r="X310" s="23">
        <f t="shared" si="6"/>
        <v>0</v>
      </c>
      <c r="Y310" s="8"/>
      <c r="Z310" s="8" t="str">
        <f>VLOOKUP(F310,RANGOFECHAFINAL,25,FALSE)</f>
        <v>#N/A</v>
      </c>
      <c r="AA310" s="8"/>
      <c r="AB310" s="8"/>
      <c r="AC310" s="8"/>
      <c r="AD310" s="7"/>
    </row>
    <row r="311">
      <c r="A311" s="7"/>
      <c r="B311" s="7"/>
      <c r="C311" s="7"/>
      <c r="D311" s="7"/>
      <c r="E311" s="8"/>
      <c r="G311" s="9"/>
      <c r="H311" s="60"/>
      <c r="I311" s="53"/>
      <c r="J311" s="10"/>
      <c r="K311" s="11"/>
      <c r="L311" s="10">
        <f t="shared" si="5"/>
        <v>0</v>
      </c>
      <c r="M311" s="12" t="str">
        <f>IFERROR(__xludf.DUMMYFUNCTION("+N311/L311"),"#N/A")</f>
        <v>#N/A</v>
      </c>
      <c r="N311" s="13" t="str">
        <f>VLOOKUP(I311,PAGOSTOTALES,18,FALSE)</f>
        <v>#N/A</v>
      </c>
      <c r="O311" s="13"/>
      <c r="P311" s="54"/>
      <c r="Q311" s="61"/>
      <c r="R311" s="61"/>
      <c r="S311" s="62"/>
      <c r="T311" s="15"/>
      <c r="U311" s="14"/>
      <c r="V311" s="16"/>
      <c r="W311" s="8"/>
      <c r="X311" s="23">
        <f t="shared" si="6"/>
        <v>0</v>
      </c>
      <c r="Y311" s="8"/>
      <c r="Z311" s="8" t="str">
        <f>VLOOKUP(F311,RANGOFECHAFINAL,25,FALSE)</f>
        <v>#N/A</v>
      </c>
      <c r="AA311" s="8"/>
      <c r="AB311" s="8"/>
      <c r="AC311" s="8"/>
      <c r="AD311" s="7"/>
    </row>
    <row r="312">
      <c r="A312" s="7"/>
      <c r="B312" s="7"/>
      <c r="C312" s="7"/>
      <c r="D312" s="7"/>
      <c r="E312" s="8"/>
      <c r="G312" s="9"/>
      <c r="H312" s="60"/>
      <c r="I312" s="53"/>
      <c r="J312" s="10"/>
      <c r="K312" s="11"/>
      <c r="L312" s="10">
        <f t="shared" si="5"/>
        <v>0</v>
      </c>
      <c r="M312" s="12" t="str">
        <f>IFERROR(__xludf.DUMMYFUNCTION("+N312/L312"),"#N/A")</f>
        <v>#N/A</v>
      </c>
      <c r="N312" s="13" t="str">
        <f>VLOOKUP(I312,PAGOSTOTALES,18,FALSE)</f>
        <v>#N/A</v>
      </c>
      <c r="O312" s="13"/>
      <c r="P312" s="54"/>
      <c r="Q312" s="61"/>
      <c r="R312" s="61"/>
      <c r="S312" s="62"/>
      <c r="T312" s="15"/>
      <c r="U312" s="14"/>
      <c r="V312" s="16"/>
      <c r="W312" s="8"/>
      <c r="X312" s="23">
        <f t="shared" si="6"/>
        <v>0</v>
      </c>
      <c r="Y312" s="8"/>
      <c r="Z312" s="8" t="str">
        <f>VLOOKUP(F312,RANGOFECHAFINAL,25,FALSE)</f>
        <v>#N/A</v>
      </c>
      <c r="AA312" s="8"/>
      <c r="AB312" s="8"/>
      <c r="AC312" s="8"/>
      <c r="AD312" s="7"/>
    </row>
    <row r="313">
      <c r="A313" s="7"/>
      <c r="B313" s="7"/>
      <c r="C313" s="7"/>
      <c r="D313" s="7"/>
      <c r="E313" s="8"/>
      <c r="G313" s="9"/>
      <c r="H313" s="60"/>
      <c r="I313" s="53"/>
      <c r="J313" s="10"/>
      <c r="K313" s="11"/>
      <c r="L313" s="10">
        <f t="shared" si="5"/>
        <v>0</v>
      </c>
      <c r="M313" s="12" t="str">
        <f>IFERROR(__xludf.DUMMYFUNCTION("+N313/L313"),"#N/A")</f>
        <v>#N/A</v>
      </c>
      <c r="N313" s="13" t="str">
        <f>VLOOKUP(I313,PAGOSTOTALES,18,FALSE)</f>
        <v>#N/A</v>
      </c>
      <c r="O313" s="13"/>
      <c r="P313" s="54"/>
      <c r="Q313" s="61"/>
      <c r="R313" s="61"/>
      <c r="S313" s="62"/>
      <c r="T313" s="15"/>
      <c r="U313" s="14"/>
      <c r="V313" s="16"/>
      <c r="W313" s="8"/>
      <c r="X313" s="23">
        <f t="shared" si="6"/>
        <v>0</v>
      </c>
      <c r="Y313" s="8"/>
      <c r="Z313" s="8" t="str">
        <f>VLOOKUP(F313,RANGOFECHAFINAL,25,FALSE)</f>
        <v>#N/A</v>
      </c>
      <c r="AA313" s="8"/>
      <c r="AB313" s="8"/>
      <c r="AC313" s="8"/>
      <c r="AD313" s="7"/>
    </row>
    <row r="314">
      <c r="A314" s="7"/>
      <c r="B314" s="7"/>
      <c r="C314" s="7"/>
      <c r="D314" s="7"/>
      <c r="E314" s="8"/>
      <c r="G314" s="9"/>
      <c r="H314" s="60"/>
      <c r="I314" s="53"/>
      <c r="J314" s="10"/>
      <c r="K314" s="11"/>
      <c r="L314" s="10">
        <f t="shared" si="5"/>
        <v>0</v>
      </c>
      <c r="M314" s="12" t="str">
        <f>IFERROR(__xludf.DUMMYFUNCTION("+N314/L314"),"#N/A")</f>
        <v>#N/A</v>
      </c>
      <c r="N314" s="13" t="str">
        <f>VLOOKUP(I314,PAGOSTOTALES,18,FALSE)</f>
        <v>#N/A</v>
      </c>
      <c r="O314" s="13"/>
      <c r="P314" s="54"/>
      <c r="Q314" s="61"/>
      <c r="R314" s="61"/>
      <c r="S314" s="62"/>
      <c r="T314" s="15"/>
      <c r="U314" s="14"/>
      <c r="V314" s="16"/>
      <c r="W314" s="8"/>
      <c r="X314" s="23">
        <f t="shared" si="6"/>
        <v>0</v>
      </c>
      <c r="Y314" s="8"/>
      <c r="Z314" s="8" t="str">
        <f>VLOOKUP(F314,RANGOFECHAFINAL,25,FALSE)</f>
        <v>#N/A</v>
      </c>
      <c r="AA314" s="8"/>
      <c r="AB314" s="8"/>
      <c r="AC314" s="8"/>
      <c r="AD314" s="7"/>
    </row>
    <row r="315">
      <c r="A315" s="7"/>
      <c r="B315" s="7"/>
      <c r="C315" s="7"/>
      <c r="D315" s="7"/>
      <c r="E315" s="8"/>
      <c r="G315" s="9"/>
      <c r="H315" s="60"/>
      <c r="I315" s="53"/>
      <c r="J315" s="10"/>
      <c r="K315" s="11"/>
      <c r="L315" s="10">
        <f t="shared" si="5"/>
        <v>0</v>
      </c>
      <c r="M315" s="12" t="str">
        <f>IFERROR(__xludf.DUMMYFUNCTION("+N315/L315"),"#N/A")</f>
        <v>#N/A</v>
      </c>
      <c r="N315" s="13" t="str">
        <f>VLOOKUP(I315,PAGOSTOTALES,18,FALSE)</f>
        <v>#N/A</v>
      </c>
      <c r="O315" s="13"/>
      <c r="P315" s="54"/>
      <c r="Q315" s="61"/>
      <c r="R315" s="61"/>
      <c r="S315" s="62"/>
      <c r="T315" s="15"/>
      <c r="U315" s="14"/>
      <c r="V315" s="16"/>
      <c r="W315" s="8"/>
      <c r="X315" s="23">
        <f t="shared" si="6"/>
        <v>0</v>
      </c>
      <c r="Y315" s="8"/>
      <c r="Z315" s="8" t="str">
        <f>VLOOKUP(F315,RANGOFECHAFINAL,25,FALSE)</f>
        <v>#N/A</v>
      </c>
      <c r="AA315" s="8"/>
      <c r="AB315" s="8"/>
      <c r="AC315" s="8"/>
      <c r="AD315" s="7"/>
    </row>
    <row r="316">
      <c r="A316" s="7"/>
      <c r="B316" s="7"/>
      <c r="C316" s="7"/>
      <c r="D316" s="7"/>
      <c r="E316" s="8"/>
      <c r="G316" s="9"/>
      <c r="H316" s="60"/>
      <c r="I316" s="53"/>
      <c r="J316" s="10"/>
      <c r="K316" s="11"/>
      <c r="L316" s="10">
        <f t="shared" si="5"/>
        <v>0</v>
      </c>
      <c r="M316" s="12" t="str">
        <f>IFERROR(__xludf.DUMMYFUNCTION("+N316/L316"),"#N/A")</f>
        <v>#N/A</v>
      </c>
      <c r="N316" s="13" t="str">
        <f>VLOOKUP(I316,PAGOSTOTALES,18,FALSE)</f>
        <v>#N/A</v>
      </c>
      <c r="O316" s="13"/>
      <c r="P316" s="54"/>
      <c r="Q316" s="61"/>
      <c r="R316" s="61"/>
      <c r="S316" s="62"/>
      <c r="T316" s="15"/>
      <c r="U316" s="14"/>
      <c r="V316" s="16"/>
      <c r="W316" s="8"/>
      <c r="X316" s="23">
        <f t="shared" si="6"/>
        <v>0</v>
      </c>
      <c r="Y316" s="8"/>
      <c r="Z316" s="8" t="str">
        <f>VLOOKUP(F316,RANGOFECHAFINAL,25,FALSE)</f>
        <v>#N/A</v>
      </c>
      <c r="AA316" s="8"/>
      <c r="AB316" s="8"/>
      <c r="AC316" s="8"/>
      <c r="AD316" s="7"/>
    </row>
    <row r="317">
      <c r="A317" s="7"/>
      <c r="B317" s="7"/>
      <c r="C317" s="7"/>
      <c r="D317" s="7"/>
      <c r="E317" s="8"/>
      <c r="G317" s="9"/>
      <c r="H317" s="60"/>
      <c r="I317" s="53"/>
      <c r="J317" s="10"/>
      <c r="K317" s="11"/>
      <c r="L317" s="10">
        <f t="shared" si="5"/>
        <v>0</v>
      </c>
      <c r="M317" s="12" t="str">
        <f>IFERROR(__xludf.DUMMYFUNCTION("+N317/L317"),"#N/A")</f>
        <v>#N/A</v>
      </c>
      <c r="N317" s="13" t="str">
        <f>VLOOKUP(I317,PAGOSTOTALES,18,FALSE)</f>
        <v>#N/A</v>
      </c>
      <c r="O317" s="13"/>
      <c r="P317" s="54"/>
      <c r="Q317" s="61"/>
      <c r="R317" s="61"/>
      <c r="S317" s="62"/>
      <c r="T317" s="15"/>
      <c r="U317" s="14"/>
      <c r="V317" s="16"/>
      <c r="W317" s="8"/>
      <c r="X317" s="23">
        <f t="shared" si="6"/>
        <v>0</v>
      </c>
      <c r="Y317" s="8"/>
      <c r="Z317" s="8" t="str">
        <f>VLOOKUP(F317,RANGOFECHAFINAL,25,FALSE)</f>
        <v>#N/A</v>
      </c>
      <c r="AA317" s="8"/>
      <c r="AB317" s="8"/>
      <c r="AC317" s="8"/>
      <c r="AD317" s="7"/>
    </row>
    <row r="318">
      <c r="A318" s="7"/>
      <c r="B318" s="7"/>
      <c r="C318" s="7"/>
      <c r="D318" s="7"/>
      <c r="E318" s="8"/>
      <c r="G318" s="9"/>
      <c r="H318" s="60"/>
      <c r="I318" s="53"/>
      <c r="J318" s="10"/>
      <c r="K318" s="11"/>
      <c r="L318" s="10">
        <f t="shared" si="5"/>
        <v>0</v>
      </c>
      <c r="M318" s="12" t="str">
        <f>IFERROR(__xludf.DUMMYFUNCTION("+N318/L318"),"#N/A")</f>
        <v>#N/A</v>
      </c>
      <c r="N318" s="13" t="str">
        <f>VLOOKUP(I318,PAGOSTOTALES,18,FALSE)</f>
        <v>#N/A</v>
      </c>
      <c r="O318" s="13"/>
      <c r="P318" s="54"/>
      <c r="Q318" s="61"/>
      <c r="R318" s="61"/>
      <c r="S318" s="62"/>
      <c r="T318" s="15"/>
      <c r="U318" s="14"/>
      <c r="V318" s="16"/>
      <c r="W318" s="8"/>
      <c r="X318" s="23">
        <f t="shared" si="6"/>
        <v>0</v>
      </c>
      <c r="Y318" s="8"/>
      <c r="Z318" s="8" t="str">
        <f>VLOOKUP(F318,RANGOFECHAFINAL,25,FALSE)</f>
        <v>#N/A</v>
      </c>
      <c r="AA318" s="8"/>
      <c r="AB318" s="8"/>
      <c r="AC318" s="8"/>
      <c r="AD318" s="7"/>
    </row>
    <row r="319">
      <c r="A319" s="7"/>
      <c r="B319" s="7"/>
      <c r="C319" s="7"/>
      <c r="D319" s="7"/>
      <c r="E319" s="8"/>
      <c r="G319" s="9"/>
      <c r="H319" s="60"/>
      <c r="I319" s="53"/>
      <c r="J319" s="10"/>
      <c r="K319" s="11"/>
      <c r="L319" s="10">
        <f t="shared" si="5"/>
        <v>0</v>
      </c>
      <c r="M319" s="12" t="str">
        <f>IFERROR(__xludf.DUMMYFUNCTION("+N319/L319"),"#N/A")</f>
        <v>#N/A</v>
      </c>
      <c r="N319" s="13" t="str">
        <f>VLOOKUP(I319,PAGOSTOTALES,18,FALSE)</f>
        <v>#N/A</v>
      </c>
      <c r="O319" s="13"/>
      <c r="P319" s="54"/>
      <c r="Q319" s="61"/>
      <c r="R319" s="61"/>
      <c r="S319" s="62"/>
      <c r="T319" s="55"/>
      <c r="U319" s="14"/>
      <c r="V319" s="16"/>
      <c r="W319" s="8"/>
      <c r="X319" s="23">
        <f t="shared" si="6"/>
        <v>0</v>
      </c>
      <c r="Y319" s="8"/>
      <c r="Z319" s="8" t="str">
        <f>VLOOKUP(F319,RANGOFECHAFINAL,25,FALSE)</f>
        <v>#N/A</v>
      </c>
      <c r="AA319" s="8"/>
      <c r="AB319" s="8"/>
      <c r="AC319" s="8"/>
      <c r="AD319" s="7"/>
    </row>
    <row r="320">
      <c r="A320" s="7"/>
      <c r="B320" s="7"/>
      <c r="C320" s="7"/>
      <c r="D320" s="7"/>
      <c r="E320" s="8"/>
      <c r="G320" s="9"/>
      <c r="H320" s="60"/>
      <c r="I320" s="53"/>
      <c r="J320" s="10"/>
      <c r="K320" s="11"/>
      <c r="L320" s="10">
        <f t="shared" si="5"/>
        <v>0</v>
      </c>
      <c r="M320" s="12" t="str">
        <f>IFERROR(__xludf.DUMMYFUNCTION("+N320/L320"),"#N/A")</f>
        <v>#N/A</v>
      </c>
      <c r="N320" s="13" t="str">
        <f>VLOOKUP(I320,PAGOSTOTALES,18,FALSE)</f>
        <v>#N/A</v>
      </c>
      <c r="O320" s="13"/>
      <c r="P320" s="54"/>
      <c r="Q320" s="61"/>
      <c r="R320" s="61"/>
      <c r="S320" s="62"/>
      <c r="T320" s="15"/>
      <c r="U320" s="14"/>
      <c r="V320" s="16"/>
      <c r="W320" s="8"/>
      <c r="X320" s="23">
        <f t="shared" si="6"/>
        <v>0</v>
      </c>
      <c r="Y320" s="8"/>
      <c r="Z320" s="8" t="str">
        <f>VLOOKUP(F320,RANGOFECHAFINAL,25,FALSE)</f>
        <v>#N/A</v>
      </c>
      <c r="AA320" s="8"/>
      <c r="AB320" s="8"/>
      <c r="AC320" s="8"/>
      <c r="AD320" s="7"/>
    </row>
    <row r="321">
      <c r="A321" s="7"/>
      <c r="B321" s="7"/>
      <c r="C321" s="7"/>
      <c r="D321" s="7"/>
      <c r="E321" s="8"/>
      <c r="G321" s="9"/>
      <c r="H321" s="60"/>
      <c r="I321" s="53"/>
      <c r="J321" s="10"/>
      <c r="K321" s="11"/>
      <c r="L321" s="10">
        <f t="shared" si="5"/>
        <v>0</v>
      </c>
      <c r="M321" s="12" t="str">
        <f>IFERROR(__xludf.DUMMYFUNCTION("+N321/L321"),"#N/A")</f>
        <v>#N/A</v>
      </c>
      <c r="N321" s="13" t="str">
        <f>VLOOKUP(I321,PAGOSTOTALES,18,FALSE)</f>
        <v>#N/A</v>
      </c>
      <c r="O321" s="13"/>
      <c r="P321" s="54"/>
      <c r="Q321" s="61"/>
      <c r="R321" s="61"/>
      <c r="S321" s="62"/>
      <c r="T321" s="15"/>
      <c r="U321" s="14"/>
      <c r="V321" s="16"/>
      <c r="W321" s="8"/>
      <c r="X321" s="23">
        <f t="shared" si="6"/>
        <v>0</v>
      </c>
      <c r="Y321" s="8"/>
      <c r="Z321" s="8" t="str">
        <f>VLOOKUP(F321,RANGOFECHAFINAL,25,FALSE)</f>
        <v>#N/A</v>
      </c>
      <c r="AA321" s="8"/>
      <c r="AB321" s="8"/>
      <c r="AC321" s="8"/>
      <c r="AD321" s="7"/>
    </row>
    <row r="322">
      <c r="A322" s="7"/>
      <c r="B322" s="7"/>
      <c r="C322" s="7"/>
      <c r="D322" s="7"/>
      <c r="E322" s="8"/>
      <c r="G322" s="9"/>
      <c r="H322" s="60"/>
      <c r="I322" s="53"/>
      <c r="J322" s="10"/>
      <c r="K322" s="11"/>
      <c r="L322" s="10">
        <f t="shared" si="5"/>
        <v>0</v>
      </c>
      <c r="M322" s="12" t="str">
        <f>IFERROR(__xludf.DUMMYFUNCTION("+N322/L322"),"#N/A")</f>
        <v>#N/A</v>
      </c>
      <c r="N322" s="13" t="str">
        <f>VLOOKUP(I322,PAGOSTOTALES,18,FALSE)</f>
        <v>#N/A</v>
      </c>
      <c r="O322" s="13"/>
      <c r="P322" s="54"/>
      <c r="Q322" s="61"/>
      <c r="R322" s="61"/>
      <c r="S322" s="62"/>
      <c r="T322" s="15"/>
      <c r="U322" s="14"/>
      <c r="V322" s="16"/>
      <c r="W322" s="8"/>
      <c r="X322" s="23">
        <f t="shared" si="6"/>
        <v>0</v>
      </c>
      <c r="Y322" s="8"/>
      <c r="Z322" s="8" t="str">
        <f>VLOOKUP(F322,RANGOFECHAFINAL,25,FALSE)</f>
        <v>#N/A</v>
      </c>
      <c r="AA322" s="8"/>
      <c r="AB322" s="8"/>
      <c r="AC322" s="8"/>
      <c r="AD322" s="7"/>
    </row>
    <row r="323">
      <c r="A323" s="7"/>
      <c r="B323" s="7"/>
      <c r="C323" s="7"/>
      <c r="D323" s="7"/>
      <c r="E323" s="8"/>
      <c r="G323" s="9"/>
      <c r="H323" s="60"/>
      <c r="I323" s="53"/>
      <c r="J323" s="10"/>
      <c r="K323" s="11"/>
      <c r="L323" s="10">
        <f t="shared" si="5"/>
        <v>0</v>
      </c>
      <c r="M323" s="12" t="str">
        <f>IFERROR(__xludf.DUMMYFUNCTION("+N323/L323"),"#N/A")</f>
        <v>#N/A</v>
      </c>
      <c r="N323" s="13" t="str">
        <f>VLOOKUP(I323,PAGOSTOTALES,18,FALSE)</f>
        <v>#N/A</v>
      </c>
      <c r="O323" s="13"/>
      <c r="P323" s="54"/>
      <c r="Q323" s="61"/>
      <c r="R323" s="61"/>
      <c r="S323" s="62"/>
      <c r="T323" s="55"/>
      <c r="U323" s="14"/>
      <c r="V323" s="16"/>
      <c r="W323" s="8"/>
      <c r="X323" s="23">
        <f t="shared" si="6"/>
        <v>0</v>
      </c>
      <c r="Y323" s="8"/>
      <c r="Z323" s="8" t="str">
        <f>VLOOKUP(F323,RANGOFECHAFINAL,25,FALSE)</f>
        <v>#N/A</v>
      </c>
      <c r="AA323" s="8"/>
      <c r="AB323" s="8"/>
      <c r="AC323" s="8"/>
      <c r="AD323" s="7"/>
    </row>
    <row r="324">
      <c r="A324" s="7"/>
      <c r="B324" s="7"/>
      <c r="C324" s="7"/>
      <c r="D324" s="7"/>
      <c r="E324" s="8"/>
      <c r="G324" s="9"/>
      <c r="H324" s="60"/>
      <c r="I324" s="53"/>
      <c r="J324" s="10"/>
      <c r="K324" s="11"/>
      <c r="L324" s="10">
        <f t="shared" si="5"/>
        <v>0</v>
      </c>
      <c r="M324" s="12" t="str">
        <f>IFERROR(__xludf.DUMMYFUNCTION("+N324/L324"),"#N/A")</f>
        <v>#N/A</v>
      </c>
      <c r="N324" s="13" t="str">
        <f>VLOOKUP(I324,PAGOSTOTALES,18,FALSE)</f>
        <v>#N/A</v>
      </c>
      <c r="O324" s="13"/>
      <c r="P324" s="54"/>
      <c r="Q324" s="61"/>
      <c r="R324" s="61"/>
      <c r="S324" s="62"/>
      <c r="T324" s="15"/>
      <c r="U324" s="14"/>
      <c r="V324" s="16"/>
      <c r="W324" s="8"/>
      <c r="X324" s="23">
        <f t="shared" si="6"/>
        <v>0</v>
      </c>
      <c r="Y324" s="8"/>
      <c r="Z324" s="8" t="str">
        <f>VLOOKUP(F324,RANGOFECHAFINAL,25,FALSE)</f>
        <v>#N/A</v>
      </c>
      <c r="AA324" s="8"/>
      <c r="AB324" s="8"/>
      <c r="AC324" s="8"/>
      <c r="AD324" s="7"/>
    </row>
    <row r="325">
      <c r="A325" s="7"/>
      <c r="B325" s="7"/>
      <c r="C325" s="7"/>
      <c r="D325" s="7"/>
      <c r="E325" s="8"/>
      <c r="G325" s="9"/>
      <c r="H325" s="60"/>
      <c r="I325" s="53"/>
      <c r="J325" s="10"/>
      <c r="K325" s="11"/>
      <c r="L325" s="10">
        <f t="shared" si="5"/>
        <v>0</v>
      </c>
      <c r="M325" s="12" t="str">
        <f>IFERROR(__xludf.DUMMYFUNCTION("+N325/L325"),"#N/A")</f>
        <v>#N/A</v>
      </c>
      <c r="N325" s="13" t="str">
        <f>VLOOKUP(I325,PAGOSTOTALES,18,FALSE)</f>
        <v>#N/A</v>
      </c>
      <c r="O325" s="13"/>
      <c r="P325" s="54"/>
      <c r="Q325" s="61"/>
      <c r="R325" s="61"/>
      <c r="S325" s="62"/>
      <c r="T325" s="15"/>
      <c r="U325" s="14"/>
      <c r="V325" s="16"/>
      <c r="W325" s="8"/>
      <c r="X325" s="23">
        <f t="shared" si="6"/>
        <v>0</v>
      </c>
      <c r="Y325" s="8"/>
      <c r="Z325" s="8" t="str">
        <f>VLOOKUP(F325,RANGOFECHAFINAL,25,FALSE)</f>
        <v>#N/A</v>
      </c>
      <c r="AA325" s="8"/>
      <c r="AB325" s="8"/>
      <c r="AC325" s="8"/>
      <c r="AD325" s="7"/>
    </row>
    <row r="326">
      <c r="A326" s="7"/>
      <c r="B326" s="7"/>
      <c r="C326" s="7"/>
      <c r="D326" s="7"/>
      <c r="E326" s="8"/>
      <c r="G326" s="9"/>
      <c r="H326" s="60"/>
      <c r="I326" s="53"/>
      <c r="J326" s="10"/>
      <c r="K326" s="11"/>
      <c r="L326" s="10">
        <f t="shared" si="5"/>
        <v>0</v>
      </c>
      <c r="M326" s="12" t="str">
        <f>IFERROR(__xludf.DUMMYFUNCTION("+N326/L326"),"#N/A")</f>
        <v>#N/A</v>
      </c>
      <c r="N326" s="13" t="str">
        <f>VLOOKUP(I326,PAGOSTOTALES,18,FALSE)</f>
        <v>#N/A</v>
      </c>
      <c r="O326" s="13"/>
      <c r="P326" s="54"/>
      <c r="Q326" s="61"/>
      <c r="R326" s="61"/>
      <c r="S326" s="62"/>
      <c r="T326" s="55"/>
      <c r="U326" s="14"/>
      <c r="V326" s="16"/>
      <c r="W326" s="8"/>
      <c r="X326" s="23">
        <f t="shared" si="6"/>
        <v>0</v>
      </c>
      <c r="Y326" s="8"/>
      <c r="Z326" s="8" t="str">
        <f>VLOOKUP(F326,RANGOFECHAFINAL,25,FALSE)</f>
        <v>#N/A</v>
      </c>
      <c r="AA326" s="8"/>
      <c r="AB326" s="8"/>
      <c r="AC326" s="8"/>
      <c r="AD326" s="7"/>
    </row>
    <row r="327">
      <c r="A327" s="7"/>
      <c r="B327" s="7"/>
      <c r="C327" s="7"/>
      <c r="D327" s="7"/>
      <c r="E327" s="8"/>
      <c r="G327" s="9"/>
      <c r="H327" s="60"/>
      <c r="I327" s="53"/>
      <c r="J327" s="10"/>
      <c r="K327" s="11"/>
      <c r="L327" s="10">
        <f t="shared" si="5"/>
        <v>0</v>
      </c>
      <c r="M327" s="12" t="str">
        <f>IFERROR(__xludf.DUMMYFUNCTION("+N327/L327"),"#N/A")</f>
        <v>#N/A</v>
      </c>
      <c r="N327" s="13" t="str">
        <f>VLOOKUP(I327,PAGOSTOTALES,18,FALSE)</f>
        <v>#N/A</v>
      </c>
      <c r="O327" s="13"/>
      <c r="P327" s="54"/>
      <c r="Q327" s="61"/>
      <c r="R327" s="61"/>
      <c r="S327" s="62"/>
      <c r="T327" s="55"/>
      <c r="U327" s="14"/>
      <c r="V327" s="16"/>
      <c r="W327" s="8"/>
      <c r="X327" s="23">
        <f t="shared" si="6"/>
        <v>0</v>
      </c>
      <c r="Y327" s="8"/>
      <c r="Z327" s="8" t="str">
        <f>VLOOKUP(F327,RANGOFECHAFINAL,25,FALSE)</f>
        <v>#N/A</v>
      </c>
      <c r="AA327" s="8"/>
      <c r="AB327" s="8"/>
      <c r="AC327" s="8"/>
      <c r="AD327" s="7"/>
    </row>
    <row r="328">
      <c r="A328" s="7"/>
      <c r="B328" s="7"/>
      <c r="C328" s="7"/>
      <c r="D328" s="7"/>
      <c r="E328" s="8"/>
      <c r="G328" s="9"/>
      <c r="H328" s="60"/>
      <c r="I328" s="53"/>
      <c r="J328" s="10"/>
      <c r="K328" s="11"/>
      <c r="L328" s="10">
        <f t="shared" si="5"/>
        <v>0</v>
      </c>
      <c r="M328" s="12" t="str">
        <f>IFERROR(__xludf.DUMMYFUNCTION("+N328/L328"),"#N/A")</f>
        <v>#N/A</v>
      </c>
      <c r="N328" s="13" t="str">
        <f>VLOOKUP(I328,PAGOSTOTALES,18,FALSE)</f>
        <v>#N/A</v>
      </c>
      <c r="O328" s="13"/>
      <c r="P328" s="54"/>
      <c r="Q328" s="61"/>
      <c r="R328" s="61"/>
      <c r="S328" s="62"/>
      <c r="T328" s="15"/>
      <c r="U328" s="14"/>
      <c r="V328" s="16"/>
      <c r="W328" s="8"/>
      <c r="X328" s="23">
        <f t="shared" si="6"/>
        <v>0</v>
      </c>
      <c r="Y328" s="8"/>
      <c r="Z328" s="8" t="str">
        <f>VLOOKUP(F328,RANGOFECHAFINAL,25,FALSE)</f>
        <v>#N/A</v>
      </c>
      <c r="AA328" s="8"/>
      <c r="AB328" s="8"/>
      <c r="AC328" s="8"/>
      <c r="AD328" s="7"/>
    </row>
    <row r="329">
      <c r="A329" s="7"/>
      <c r="B329" s="7"/>
      <c r="C329" s="7"/>
      <c r="D329" s="7"/>
      <c r="E329" s="8"/>
      <c r="G329" s="9"/>
      <c r="H329" s="60"/>
      <c r="I329" s="53"/>
      <c r="J329" s="10"/>
      <c r="K329" s="11"/>
      <c r="L329" s="10">
        <f t="shared" si="5"/>
        <v>0</v>
      </c>
      <c r="M329" s="12" t="str">
        <f>IFERROR(__xludf.DUMMYFUNCTION("+N329/L329"),"#N/A")</f>
        <v>#N/A</v>
      </c>
      <c r="N329" s="13" t="str">
        <f>VLOOKUP(I329,PAGOSTOTALES,18,FALSE)</f>
        <v>#N/A</v>
      </c>
      <c r="O329" s="13"/>
      <c r="P329" s="54"/>
      <c r="Q329" s="61"/>
      <c r="R329" s="61"/>
      <c r="S329" s="62"/>
      <c r="T329" s="15"/>
      <c r="U329" s="14"/>
      <c r="V329" s="16"/>
      <c r="W329" s="8"/>
      <c r="X329" s="23">
        <f t="shared" si="6"/>
        <v>0</v>
      </c>
      <c r="Y329" s="8"/>
      <c r="Z329" s="8" t="str">
        <f>VLOOKUP(F329,RANGOFECHAFINAL,25,FALSE)</f>
        <v>#N/A</v>
      </c>
      <c r="AA329" s="8"/>
      <c r="AB329" s="8"/>
      <c r="AC329" s="8"/>
      <c r="AD329" s="7"/>
    </row>
    <row r="330">
      <c r="A330" s="7"/>
      <c r="B330" s="7"/>
      <c r="C330" s="7"/>
      <c r="D330" s="7"/>
      <c r="E330" s="8"/>
      <c r="G330" s="9"/>
      <c r="H330" s="60"/>
      <c r="I330" s="53"/>
      <c r="J330" s="10"/>
      <c r="K330" s="11"/>
      <c r="L330" s="10">
        <f t="shared" si="5"/>
        <v>0</v>
      </c>
      <c r="M330" s="12" t="str">
        <f>IFERROR(__xludf.DUMMYFUNCTION("+N330/L330"),"#N/A")</f>
        <v>#N/A</v>
      </c>
      <c r="N330" s="13" t="str">
        <f>VLOOKUP(I330,PAGOSTOTALES,18,FALSE)</f>
        <v>#N/A</v>
      </c>
      <c r="O330" s="13"/>
      <c r="P330" s="54"/>
      <c r="Q330" s="61"/>
      <c r="R330" s="61"/>
      <c r="S330" s="62"/>
      <c r="T330" s="15"/>
      <c r="U330" s="14"/>
      <c r="V330" s="16"/>
      <c r="W330" s="8"/>
      <c r="X330" s="23">
        <f t="shared" si="6"/>
        <v>0</v>
      </c>
      <c r="Y330" s="8"/>
      <c r="Z330" s="8" t="str">
        <f>VLOOKUP(F330,RANGOFECHAFINAL,25,FALSE)</f>
        <v>#N/A</v>
      </c>
      <c r="AA330" s="8"/>
      <c r="AB330" s="8"/>
      <c r="AC330" s="8"/>
      <c r="AD330" s="7"/>
    </row>
    <row r="331">
      <c r="A331" s="7"/>
      <c r="B331" s="7"/>
      <c r="C331" s="7"/>
      <c r="D331" s="7"/>
      <c r="E331" s="8"/>
      <c r="G331" s="9"/>
      <c r="H331" s="60"/>
      <c r="I331" s="53"/>
      <c r="J331" s="10"/>
      <c r="K331" s="11"/>
      <c r="L331" s="10">
        <f t="shared" si="5"/>
        <v>0</v>
      </c>
      <c r="M331" s="12" t="str">
        <f>IFERROR(__xludf.DUMMYFUNCTION("+N331/L331"),"#N/A")</f>
        <v>#N/A</v>
      </c>
      <c r="N331" s="13" t="str">
        <f>VLOOKUP(I331,PAGOSTOTALES,18,FALSE)</f>
        <v>#N/A</v>
      </c>
      <c r="O331" s="13"/>
      <c r="P331" s="54"/>
      <c r="Q331" s="61"/>
      <c r="R331" s="61"/>
      <c r="S331" s="62"/>
      <c r="T331" s="15"/>
      <c r="U331" s="14"/>
      <c r="V331" s="16"/>
      <c r="W331" s="8"/>
      <c r="X331" s="23">
        <f t="shared" si="6"/>
        <v>0</v>
      </c>
      <c r="Y331" s="8"/>
      <c r="Z331" s="8" t="str">
        <f>VLOOKUP(F331,RANGOFECHAFINAL,25,FALSE)</f>
        <v>#N/A</v>
      </c>
      <c r="AA331" s="8"/>
      <c r="AB331" s="8"/>
      <c r="AC331" s="8"/>
      <c r="AD331" s="7"/>
    </row>
    <row r="332">
      <c r="A332" s="7"/>
      <c r="B332" s="7"/>
      <c r="C332" s="7"/>
      <c r="D332" s="7"/>
      <c r="E332" s="8"/>
      <c r="G332" s="9"/>
      <c r="H332" s="60"/>
      <c r="I332" s="53"/>
      <c r="J332" s="10"/>
      <c r="K332" s="11"/>
      <c r="L332" s="10">
        <f t="shared" si="5"/>
        <v>0</v>
      </c>
      <c r="M332" s="12" t="str">
        <f>IFERROR(__xludf.DUMMYFUNCTION("+N332/L332"),"#DIV/0!")</f>
        <v>#DIV/0!</v>
      </c>
      <c r="N332" s="10"/>
      <c r="O332" s="13"/>
      <c r="P332" s="54"/>
      <c r="Q332" s="61"/>
      <c r="R332" s="61"/>
      <c r="S332" s="62"/>
      <c r="T332" s="15"/>
      <c r="U332" s="14"/>
      <c r="V332" s="16"/>
      <c r="W332" s="8"/>
      <c r="X332" s="23">
        <f t="shared" si="6"/>
        <v>0</v>
      </c>
      <c r="Y332" s="8"/>
      <c r="Z332" s="8" t="str">
        <f>VLOOKUP(F332,RANGOFECHAFINAL,25,FALSE)</f>
        <v>#N/A</v>
      </c>
      <c r="AA332" s="8"/>
      <c r="AB332" s="8"/>
      <c r="AC332" s="8"/>
      <c r="AD332" s="7"/>
    </row>
    <row r="333">
      <c r="A333" s="7"/>
      <c r="B333" s="7"/>
      <c r="C333" s="7"/>
      <c r="D333" s="7"/>
      <c r="E333" s="8"/>
      <c r="G333" s="9"/>
      <c r="H333" s="60"/>
      <c r="I333" s="53"/>
      <c r="J333" s="10"/>
      <c r="K333" s="11"/>
      <c r="L333" s="10">
        <f t="shared" si="5"/>
        <v>0</v>
      </c>
      <c r="M333" s="12" t="str">
        <f>IFERROR(__xludf.DUMMYFUNCTION("+N333/L333"),"#DIV/0!")</f>
        <v>#DIV/0!</v>
      </c>
      <c r="N333" s="10"/>
      <c r="O333" s="13"/>
      <c r="P333" s="54"/>
      <c r="Q333" s="61"/>
      <c r="R333" s="61"/>
      <c r="S333" s="62"/>
      <c r="T333" s="15"/>
      <c r="U333" s="14"/>
      <c r="V333" s="16"/>
      <c r="W333" s="8"/>
      <c r="X333" s="23">
        <f t="shared" si="6"/>
        <v>0</v>
      </c>
      <c r="Y333" s="8"/>
      <c r="Z333" s="8" t="str">
        <f>VLOOKUP(F333,RANGOFECHAFINAL,25,FALSE)</f>
        <v>#N/A</v>
      </c>
      <c r="AA333" s="8"/>
      <c r="AB333" s="8"/>
      <c r="AC333" s="8"/>
      <c r="AD333" s="7"/>
    </row>
    <row r="334">
      <c r="A334" s="7"/>
      <c r="B334" s="7"/>
      <c r="C334" s="7"/>
      <c r="D334" s="7"/>
      <c r="E334" s="8"/>
      <c r="G334" s="9"/>
      <c r="H334" s="60"/>
      <c r="I334" s="53"/>
      <c r="J334" s="10"/>
      <c r="K334" s="11"/>
      <c r="L334" s="10">
        <f t="shared" si="5"/>
        <v>0</v>
      </c>
      <c r="M334" s="12" t="str">
        <f>IFERROR(__xludf.DUMMYFUNCTION("+N334/L334"),"#DIV/0!")</f>
        <v>#DIV/0!</v>
      </c>
      <c r="N334" s="10"/>
      <c r="O334" s="13"/>
      <c r="P334" s="54"/>
      <c r="Q334" s="61"/>
      <c r="R334" s="61"/>
      <c r="S334" s="62"/>
      <c r="T334" s="15"/>
      <c r="U334" s="14"/>
      <c r="V334" s="16"/>
      <c r="W334" s="8"/>
      <c r="X334" s="23">
        <f t="shared" si="6"/>
        <v>0</v>
      </c>
      <c r="Y334" s="8"/>
      <c r="Z334" s="8" t="str">
        <f>VLOOKUP(F334,RANGOFECHAFINAL,25,FALSE)</f>
        <v>#N/A</v>
      </c>
      <c r="AA334" s="8"/>
      <c r="AB334" s="8"/>
      <c r="AC334" s="8"/>
      <c r="AD334" s="7"/>
    </row>
    <row r="335">
      <c r="A335" s="7"/>
      <c r="B335" s="7"/>
      <c r="C335" s="7"/>
      <c r="D335" s="7"/>
      <c r="E335" s="8"/>
      <c r="G335" s="9"/>
      <c r="H335" s="60"/>
      <c r="I335" s="53"/>
      <c r="J335" s="10"/>
      <c r="K335" s="11"/>
      <c r="L335" s="10">
        <f t="shared" si="5"/>
        <v>0</v>
      </c>
      <c r="M335" s="12" t="str">
        <f>IFERROR(__xludf.DUMMYFUNCTION("+N335/L335"),"#DIV/0!")</f>
        <v>#DIV/0!</v>
      </c>
      <c r="N335" s="10"/>
      <c r="O335" s="13"/>
      <c r="P335" s="54"/>
      <c r="Q335" s="61"/>
      <c r="R335" s="61"/>
      <c r="S335" s="62"/>
      <c r="T335" s="15"/>
      <c r="U335" s="14"/>
      <c r="V335" s="16"/>
      <c r="W335" s="8"/>
      <c r="X335" s="23">
        <f t="shared" si="6"/>
        <v>0</v>
      </c>
      <c r="Y335" s="8"/>
      <c r="Z335" s="8" t="str">
        <f>VLOOKUP(F335,RANGOFECHAFINAL,25,FALSE)</f>
        <v>#N/A</v>
      </c>
      <c r="AA335" s="8"/>
      <c r="AB335" s="8"/>
      <c r="AC335" s="8"/>
      <c r="AD335" s="7"/>
    </row>
    <row r="336">
      <c r="A336" s="7"/>
      <c r="B336" s="7"/>
      <c r="C336" s="7"/>
      <c r="D336" s="7"/>
      <c r="E336" s="8"/>
      <c r="G336" s="9"/>
      <c r="H336" s="60"/>
      <c r="I336" s="53"/>
      <c r="J336" s="10"/>
      <c r="K336" s="11"/>
      <c r="L336" s="10">
        <f t="shared" si="5"/>
        <v>0</v>
      </c>
      <c r="M336" s="12" t="str">
        <f>IFERROR(__xludf.DUMMYFUNCTION("+N336/L336"),"#DIV/0!")</f>
        <v>#DIV/0!</v>
      </c>
      <c r="N336" s="10"/>
      <c r="O336" s="13"/>
      <c r="P336" s="54"/>
      <c r="Q336" s="61"/>
      <c r="R336" s="61"/>
      <c r="S336" s="62"/>
      <c r="T336" s="15"/>
      <c r="U336" s="14"/>
      <c r="V336" s="16"/>
      <c r="W336" s="8"/>
      <c r="X336" s="23">
        <f t="shared" si="6"/>
        <v>0</v>
      </c>
      <c r="Y336" s="8"/>
      <c r="Z336" s="8" t="str">
        <f>VLOOKUP(F336,RANGOFECHAFINAL,25,FALSE)</f>
        <v>#N/A</v>
      </c>
      <c r="AA336" s="8"/>
      <c r="AB336" s="8"/>
      <c r="AC336" s="8"/>
      <c r="AD336" s="7"/>
    </row>
    <row r="337">
      <c r="A337" s="7"/>
      <c r="B337" s="7"/>
      <c r="C337" s="7"/>
      <c r="D337" s="7"/>
      <c r="E337" s="8"/>
      <c r="G337" s="9"/>
      <c r="H337" s="60"/>
      <c r="I337" s="53"/>
      <c r="J337" s="10"/>
      <c r="K337" s="11"/>
      <c r="L337" s="10">
        <f t="shared" si="5"/>
        <v>0</v>
      </c>
      <c r="M337" s="12" t="str">
        <f>IFERROR(__xludf.DUMMYFUNCTION("+N337/L337"),"#DIV/0!")</f>
        <v>#DIV/0!</v>
      </c>
      <c r="N337" s="10"/>
      <c r="O337" s="13"/>
      <c r="P337" s="54"/>
      <c r="Q337" s="61"/>
      <c r="R337" s="61"/>
      <c r="S337" s="62"/>
      <c r="T337" s="15"/>
      <c r="U337" s="14"/>
      <c r="V337" s="16"/>
      <c r="W337" s="8"/>
      <c r="X337" s="23">
        <f t="shared" si="6"/>
        <v>0</v>
      </c>
      <c r="Y337" s="8"/>
      <c r="Z337" s="8" t="str">
        <f>VLOOKUP(F337,RANGOFECHAFINAL,25,FALSE)</f>
        <v>#N/A</v>
      </c>
      <c r="AA337" s="8"/>
      <c r="AB337" s="8"/>
      <c r="AC337" s="8"/>
      <c r="AD337" s="7"/>
    </row>
    <row r="338">
      <c r="A338" s="7"/>
      <c r="B338" s="7"/>
      <c r="C338" s="7"/>
      <c r="D338" s="7"/>
      <c r="E338" s="8"/>
      <c r="G338" s="9"/>
      <c r="H338" s="60"/>
      <c r="I338" s="53"/>
      <c r="J338" s="10"/>
      <c r="K338" s="11"/>
      <c r="L338" s="10">
        <f t="shared" si="5"/>
        <v>0</v>
      </c>
      <c r="M338" s="12" t="str">
        <f>IFERROR(__xludf.DUMMYFUNCTION("+N338/L338"),"#DIV/0!")</f>
        <v>#DIV/0!</v>
      </c>
      <c r="N338" s="10"/>
      <c r="O338" s="13"/>
      <c r="P338" s="54"/>
      <c r="Q338" s="61"/>
      <c r="R338" s="61"/>
      <c r="S338" s="62"/>
      <c r="T338" s="55"/>
      <c r="U338" s="14"/>
      <c r="V338" s="16"/>
      <c r="W338" s="8"/>
      <c r="X338" s="23">
        <f t="shared" si="6"/>
        <v>0</v>
      </c>
      <c r="Y338" s="8"/>
      <c r="Z338" s="8" t="str">
        <f>VLOOKUP(F338,RANGOFECHAFINAL,25,FALSE)</f>
        <v>#N/A</v>
      </c>
      <c r="AA338" s="8"/>
      <c r="AB338" s="8"/>
      <c r="AC338" s="8"/>
      <c r="AD338" s="7"/>
    </row>
    <row r="339">
      <c r="A339" s="7"/>
      <c r="B339" s="7"/>
      <c r="C339" s="7"/>
      <c r="D339" s="7"/>
      <c r="E339" s="8"/>
      <c r="G339" s="9"/>
      <c r="H339" s="60"/>
      <c r="I339" s="53"/>
      <c r="J339" s="10"/>
      <c r="K339" s="11"/>
      <c r="L339" s="10">
        <f t="shared" si="5"/>
        <v>0</v>
      </c>
      <c r="M339" s="12" t="str">
        <f>IFERROR(__xludf.DUMMYFUNCTION("+N339/L339"),"#DIV/0!")</f>
        <v>#DIV/0!</v>
      </c>
      <c r="N339" s="10"/>
      <c r="O339" s="13"/>
      <c r="P339" s="54"/>
      <c r="Q339" s="61"/>
      <c r="R339" s="61"/>
      <c r="S339" s="62"/>
      <c r="T339" s="55"/>
      <c r="U339" s="14"/>
      <c r="V339" s="16"/>
      <c r="W339" s="8"/>
      <c r="X339" s="23">
        <f t="shared" si="6"/>
        <v>0</v>
      </c>
      <c r="Y339" s="8"/>
      <c r="Z339" s="8" t="str">
        <f>VLOOKUP(F339,RANGOFECHAFINAL,25,FALSE)</f>
        <v>#N/A</v>
      </c>
      <c r="AA339" s="8"/>
      <c r="AB339" s="8"/>
      <c r="AC339" s="8"/>
      <c r="AD339" s="7"/>
    </row>
    <row r="340">
      <c r="A340" s="7"/>
      <c r="B340" s="7"/>
      <c r="C340" s="7"/>
      <c r="D340" s="7"/>
      <c r="E340" s="8"/>
      <c r="G340" s="9"/>
      <c r="H340" s="60"/>
      <c r="I340" s="53"/>
      <c r="J340" s="10"/>
      <c r="K340" s="11"/>
      <c r="L340" s="10">
        <f t="shared" si="5"/>
        <v>0</v>
      </c>
      <c r="M340" s="12" t="str">
        <f>IFERROR(__xludf.DUMMYFUNCTION("+N340/L340"),"#DIV/0!")</f>
        <v>#DIV/0!</v>
      </c>
      <c r="N340" s="10"/>
      <c r="O340" s="13"/>
      <c r="P340" s="54"/>
      <c r="Q340" s="61"/>
      <c r="R340" s="61"/>
      <c r="S340" s="62"/>
      <c r="T340" s="55"/>
      <c r="U340" s="14"/>
      <c r="V340" s="16"/>
      <c r="W340" s="8"/>
      <c r="X340" s="23">
        <f t="shared" si="6"/>
        <v>0</v>
      </c>
      <c r="Y340" s="8"/>
      <c r="Z340" s="8" t="str">
        <f>VLOOKUP(F340,RANGOFECHAFINAL,25,FALSE)</f>
        <v>#N/A</v>
      </c>
      <c r="AA340" s="8"/>
      <c r="AB340" s="8"/>
      <c r="AC340" s="8"/>
      <c r="AD340" s="7"/>
    </row>
    <row r="341">
      <c r="A341" s="7"/>
      <c r="B341" s="7"/>
      <c r="C341" s="7"/>
      <c r="D341" s="7"/>
      <c r="E341" s="8"/>
      <c r="G341" s="9"/>
      <c r="H341" s="60"/>
      <c r="I341" s="53"/>
      <c r="J341" s="10"/>
      <c r="K341" s="11"/>
      <c r="L341" s="10">
        <f t="shared" si="5"/>
        <v>0</v>
      </c>
      <c r="M341" s="12" t="str">
        <f>IFERROR(__xludf.DUMMYFUNCTION("+N341/L341"),"#DIV/0!")</f>
        <v>#DIV/0!</v>
      </c>
      <c r="N341" s="10"/>
      <c r="O341" s="13"/>
      <c r="P341" s="54"/>
      <c r="Q341" s="61"/>
      <c r="R341" s="61"/>
      <c r="S341" s="62"/>
      <c r="T341" s="15"/>
      <c r="U341" s="14"/>
      <c r="V341" s="16"/>
      <c r="W341" s="8"/>
      <c r="X341" s="23">
        <f t="shared" si="6"/>
        <v>0</v>
      </c>
      <c r="Y341" s="8"/>
      <c r="Z341" s="8" t="str">
        <f>VLOOKUP(F341,RANGOFECHAFINAL,25,FALSE)</f>
        <v>#N/A</v>
      </c>
      <c r="AA341" s="8"/>
      <c r="AB341" s="8"/>
      <c r="AC341" s="8"/>
      <c r="AD341" s="7"/>
    </row>
    <row r="342">
      <c r="A342" s="7"/>
      <c r="B342" s="7"/>
      <c r="C342" s="7"/>
      <c r="D342" s="7"/>
      <c r="E342" s="8"/>
      <c r="G342" s="9"/>
      <c r="H342" s="60"/>
      <c r="I342" s="53"/>
      <c r="J342" s="10"/>
      <c r="K342" s="11"/>
      <c r="L342" s="10">
        <f t="shared" si="5"/>
        <v>0</v>
      </c>
      <c r="M342" s="12" t="str">
        <f>IFERROR(__xludf.DUMMYFUNCTION("+N342/L342"),"#DIV/0!")</f>
        <v>#DIV/0!</v>
      </c>
      <c r="N342" s="10"/>
      <c r="O342" s="13"/>
      <c r="P342" s="54"/>
      <c r="Q342" s="61"/>
      <c r="R342" s="61"/>
      <c r="S342" s="62"/>
      <c r="T342" s="55"/>
      <c r="U342" s="14"/>
      <c r="V342" s="16"/>
      <c r="W342" s="8"/>
      <c r="X342" s="23">
        <f t="shared" si="6"/>
        <v>0</v>
      </c>
      <c r="Y342" s="8"/>
      <c r="Z342" s="8" t="str">
        <f>VLOOKUP(F342,RANGOFECHAFINAL,25,FALSE)</f>
        <v>#N/A</v>
      </c>
      <c r="AA342" s="8"/>
      <c r="AB342" s="8"/>
      <c r="AC342" s="8"/>
      <c r="AD342" s="7"/>
    </row>
    <row r="343">
      <c r="A343" s="7"/>
      <c r="B343" s="7"/>
      <c r="C343" s="7"/>
      <c r="D343" s="7"/>
      <c r="E343" s="8"/>
      <c r="G343" s="9"/>
      <c r="H343" s="60"/>
      <c r="I343" s="53"/>
      <c r="J343" s="10"/>
      <c r="K343" s="11"/>
      <c r="L343" s="10">
        <f t="shared" si="5"/>
        <v>0</v>
      </c>
      <c r="M343" s="12" t="str">
        <f>IFERROR(__xludf.DUMMYFUNCTION("+N343/L343"),"#DIV/0!")</f>
        <v>#DIV/0!</v>
      </c>
      <c r="N343" s="10"/>
      <c r="O343" s="13"/>
      <c r="P343" s="54"/>
      <c r="Q343" s="61"/>
      <c r="R343" s="61"/>
      <c r="S343" s="62"/>
      <c r="T343" s="55"/>
      <c r="U343" s="14"/>
      <c r="V343" s="16"/>
      <c r="W343" s="8"/>
      <c r="X343" s="23">
        <f t="shared" si="6"/>
        <v>0</v>
      </c>
      <c r="Y343" s="8"/>
      <c r="Z343" s="8" t="str">
        <f>VLOOKUP(F343,RANGOFECHAFINAL,25,FALSE)</f>
        <v>#N/A</v>
      </c>
      <c r="AA343" s="8"/>
      <c r="AB343" s="8"/>
      <c r="AC343" s="8"/>
      <c r="AD343" s="7"/>
    </row>
    <row r="344">
      <c r="A344" s="7"/>
      <c r="B344" s="7"/>
      <c r="C344" s="7"/>
      <c r="D344" s="7"/>
      <c r="E344" s="8"/>
      <c r="G344" s="9"/>
      <c r="H344" s="60"/>
      <c r="I344" s="53"/>
      <c r="J344" s="10"/>
      <c r="K344" s="11"/>
      <c r="L344" s="10">
        <f t="shared" si="5"/>
        <v>0</v>
      </c>
      <c r="M344" s="12" t="str">
        <f>IFERROR(__xludf.DUMMYFUNCTION("+N344/L344"),"#DIV/0!")</f>
        <v>#DIV/0!</v>
      </c>
      <c r="N344" s="10"/>
      <c r="O344" s="13"/>
      <c r="P344" s="54"/>
      <c r="Q344" s="61"/>
      <c r="R344" s="61"/>
      <c r="S344" s="62"/>
      <c r="T344" s="55"/>
      <c r="U344" s="14"/>
      <c r="V344" s="16"/>
      <c r="W344" s="8"/>
      <c r="X344" s="23">
        <f t="shared" si="6"/>
        <v>0</v>
      </c>
      <c r="Y344" s="8"/>
      <c r="Z344" s="8" t="str">
        <f>VLOOKUP(F344,RANGOFECHAFINAL,25,FALSE)</f>
        <v>#N/A</v>
      </c>
      <c r="AA344" s="8"/>
      <c r="AB344" s="8"/>
      <c r="AC344" s="8"/>
      <c r="AD344" s="7"/>
    </row>
    <row r="345">
      <c r="A345" s="7"/>
      <c r="B345" s="7"/>
      <c r="C345" s="7"/>
      <c r="D345" s="7"/>
      <c r="E345" s="8"/>
      <c r="G345" s="9"/>
      <c r="H345" s="60"/>
      <c r="I345" s="53"/>
      <c r="J345" s="10"/>
      <c r="K345" s="11"/>
      <c r="L345" s="10">
        <f t="shared" si="5"/>
        <v>0</v>
      </c>
      <c r="M345" s="12" t="str">
        <f>IFERROR(__xludf.DUMMYFUNCTION("+N345/L345"),"#DIV/0!")</f>
        <v>#DIV/0!</v>
      </c>
      <c r="N345" s="10"/>
      <c r="O345" s="13"/>
      <c r="P345" s="54"/>
      <c r="Q345" s="61"/>
      <c r="R345" s="61"/>
      <c r="S345" s="62"/>
      <c r="T345" s="55"/>
      <c r="U345" s="14"/>
      <c r="V345" s="16"/>
      <c r="W345" s="8"/>
      <c r="X345" s="23">
        <f t="shared" si="6"/>
        <v>0</v>
      </c>
      <c r="Y345" s="8"/>
      <c r="Z345" s="8" t="str">
        <f>VLOOKUP(F345,RANGOFECHAFINAL,25,FALSE)</f>
        <v>#N/A</v>
      </c>
      <c r="AA345" s="8"/>
      <c r="AB345" s="8"/>
      <c r="AC345" s="8"/>
      <c r="AD345" s="7"/>
    </row>
    <row r="346">
      <c r="A346" s="7"/>
      <c r="B346" s="7"/>
      <c r="C346" s="7"/>
      <c r="D346" s="7"/>
      <c r="E346" s="8"/>
      <c r="G346" s="9"/>
      <c r="H346" s="60"/>
      <c r="I346" s="53"/>
      <c r="J346" s="10"/>
      <c r="K346" s="11"/>
      <c r="L346" s="10">
        <f t="shared" si="5"/>
        <v>0</v>
      </c>
      <c r="M346" s="12" t="str">
        <f>IFERROR(__xludf.DUMMYFUNCTION("+N346/L346"),"#DIV/0!")</f>
        <v>#DIV/0!</v>
      </c>
      <c r="N346" s="10"/>
      <c r="O346" s="13"/>
      <c r="P346" s="54"/>
      <c r="Q346" s="61"/>
      <c r="R346" s="61"/>
      <c r="S346" s="62"/>
      <c r="T346" s="15"/>
      <c r="U346" s="14"/>
      <c r="V346" s="16"/>
      <c r="W346" s="8"/>
      <c r="X346" s="23">
        <f t="shared" si="6"/>
        <v>0</v>
      </c>
      <c r="Y346" s="8"/>
      <c r="Z346" s="8" t="str">
        <f>VLOOKUP(F346,RANGOFECHAFINAL,25,FALSE)</f>
        <v>#N/A</v>
      </c>
      <c r="AA346" s="8"/>
      <c r="AB346" s="8"/>
      <c r="AC346" s="8"/>
      <c r="AD346" s="7"/>
    </row>
    <row r="347">
      <c r="A347" s="7"/>
      <c r="B347" s="7"/>
      <c r="C347" s="7"/>
      <c r="D347" s="7"/>
      <c r="E347" s="8"/>
      <c r="G347" s="9"/>
      <c r="H347" s="60"/>
      <c r="I347" s="53"/>
      <c r="J347" s="10"/>
      <c r="K347" s="11"/>
      <c r="L347" s="10">
        <f t="shared" si="5"/>
        <v>0</v>
      </c>
      <c r="M347" s="12" t="str">
        <f>IFERROR(__xludf.DUMMYFUNCTION("+N347/L347"),"#DIV/0!")</f>
        <v>#DIV/0!</v>
      </c>
      <c r="N347" s="10"/>
      <c r="O347" s="13"/>
      <c r="P347" s="54"/>
      <c r="Q347" s="61"/>
      <c r="R347" s="61"/>
      <c r="S347" s="62"/>
      <c r="T347" s="55"/>
      <c r="U347" s="14"/>
      <c r="V347" s="16"/>
      <c r="W347" s="8"/>
      <c r="X347" s="23">
        <f t="shared" si="6"/>
        <v>0</v>
      </c>
      <c r="Y347" s="8"/>
      <c r="Z347" s="8" t="str">
        <f>VLOOKUP(F347,RANGOFECHAFINAL,25,FALSE)</f>
        <v>#N/A</v>
      </c>
      <c r="AA347" s="8"/>
      <c r="AB347" s="8"/>
      <c r="AC347" s="8"/>
      <c r="AD347" s="7"/>
    </row>
    <row r="348">
      <c r="A348" s="7"/>
      <c r="B348" s="7"/>
      <c r="C348" s="7"/>
      <c r="D348" s="7"/>
      <c r="E348" s="8"/>
      <c r="G348" s="9"/>
      <c r="H348" s="60"/>
      <c r="I348" s="53"/>
      <c r="J348" s="10"/>
      <c r="K348" s="11"/>
      <c r="L348" s="10">
        <f t="shared" si="5"/>
        <v>0</v>
      </c>
      <c r="M348" s="12" t="str">
        <f>IFERROR(__xludf.DUMMYFUNCTION("+N348/L348"),"#DIV/0!")</f>
        <v>#DIV/0!</v>
      </c>
      <c r="N348" s="10"/>
      <c r="O348" s="13"/>
      <c r="P348" s="54"/>
      <c r="Q348" s="61"/>
      <c r="R348" s="61"/>
      <c r="S348" s="62"/>
      <c r="T348" s="55"/>
      <c r="U348" s="14"/>
      <c r="V348" s="16"/>
      <c r="W348" s="8"/>
      <c r="X348" s="23">
        <f t="shared" si="6"/>
        <v>0</v>
      </c>
      <c r="Y348" s="8"/>
      <c r="Z348" s="8" t="str">
        <f>VLOOKUP(F348,RANGOFECHAFINAL,25,FALSE)</f>
        <v>#N/A</v>
      </c>
      <c r="AA348" s="8"/>
      <c r="AB348" s="8"/>
      <c r="AC348" s="8"/>
      <c r="AD348" s="7"/>
    </row>
    <row r="349">
      <c r="A349" s="7"/>
      <c r="B349" s="7"/>
      <c r="C349" s="7"/>
      <c r="D349" s="7"/>
      <c r="E349" s="8"/>
      <c r="G349" s="9"/>
      <c r="H349" s="60"/>
      <c r="I349" s="53"/>
      <c r="J349" s="10"/>
      <c r="K349" s="11"/>
      <c r="L349" s="10">
        <f t="shared" si="5"/>
        <v>0</v>
      </c>
      <c r="M349" s="12" t="str">
        <f>IFERROR(__xludf.DUMMYFUNCTION("+N349/L349"),"#DIV/0!")</f>
        <v>#DIV/0!</v>
      </c>
      <c r="N349" s="10"/>
      <c r="O349" s="13"/>
      <c r="P349" s="54"/>
      <c r="Q349" s="61"/>
      <c r="R349" s="61"/>
      <c r="S349" s="62"/>
      <c r="T349" s="55"/>
      <c r="U349" s="14"/>
      <c r="V349" s="16"/>
      <c r="W349" s="8"/>
      <c r="X349" s="23">
        <f t="shared" si="6"/>
        <v>0</v>
      </c>
      <c r="Y349" s="8"/>
      <c r="Z349" s="8" t="str">
        <f>VLOOKUP(F349,RANGOFECHAFINAL,25,FALSE)</f>
        <v>#N/A</v>
      </c>
      <c r="AA349" s="8"/>
      <c r="AB349" s="8"/>
      <c r="AC349" s="8"/>
      <c r="AD349" s="7"/>
    </row>
    <row r="350">
      <c r="A350" s="7"/>
      <c r="B350" s="7"/>
      <c r="C350" s="7"/>
      <c r="D350" s="7"/>
      <c r="E350" s="8"/>
      <c r="G350" s="9"/>
      <c r="H350" s="60"/>
      <c r="I350" s="53"/>
      <c r="J350" s="10"/>
      <c r="K350" s="11"/>
      <c r="L350" s="10">
        <f t="shared" si="5"/>
        <v>0</v>
      </c>
      <c r="M350" s="12" t="str">
        <f>IFERROR(__xludf.DUMMYFUNCTION("+N350/L350"),"#DIV/0!")</f>
        <v>#DIV/0!</v>
      </c>
      <c r="N350" s="10"/>
      <c r="O350" s="13"/>
      <c r="P350" s="54"/>
      <c r="Q350" s="61"/>
      <c r="R350" s="61"/>
      <c r="S350" s="62"/>
      <c r="T350" s="55"/>
      <c r="U350" s="14"/>
      <c r="V350" s="16"/>
      <c r="W350" s="8"/>
      <c r="X350" s="23">
        <f t="shared" si="6"/>
        <v>0</v>
      </c>
      <c r="Y350" s="8"/>
      <c r="Z350" s="8" t="str">
        <f>VLOOKUP(F350,RANGOFECHAFINAL,25,FALSE)</f>
        <v>#N/A</v>
      </c>
      <c r="AA350" s="8"/>
      <c r="AB350" s="8"/>
      <c r="AC350" s="8"/>
      <c r="AD350" s="7"/>
    </row>
    <row r="351">
      <c r="A351" s="7"/>
      <c r="B351" s="7"/>
      <c r="C351" s="7"/>
      <c r="D351" s="7"/>
      <c r="E351" s="8"/>
      <c r="G351" s="9"/>
      <c r="H351" s="60"/>
      <c r="I351" s="53"/>
      <c r="J351" s="10"/>
      <c r="K351" s="11"/>
      <c r="L351" s="10">
        <f t="shared" si="5"/>
        <v>0</v>
      </c>
      <c r="M351" s="12" t="str">
        <f>IFERROR(__xludf.DUMMYFUNCTION("+N351/L351"),"#DIV/0!")</f>
        <v>#DIV/0!</v>
      </c>
      <c r="N351" s="10"/>
      <c r="O351" s="13"/>
      <c r="P351" s="54"/>
      <c r="Q351" s="61"/>
      <c r="R351" s="61"/>
      <c r="S351" s="62"/>
      <c r="T351" s="55"/>
      <c r="U351" s="14"/>
      <c r="V351" s="16"/>
      <c r="W351" s="8"/>
      <c r="X351" s="23">
        <f t="shared" si="6"/>
        <v>0</v>
      </c>
      <c r="Y351" s="8"/>
      <c r="Z351" s="8" t="str">
        <f>VLOOKUP(F351,RANGOFECHAFINAL,25,FALSE)</f>
        <v>#N/A</v>
      </c>
      <c r="AA351" s="8"/>
      <c r="AB351" s="8"/>
      <c r="AC351" s="8"/>
      <c r="AD351" s="7"/>
    </row>
    <row r="352">
      <c r="A352" s="7"/>
      <c r="B352" s="7"/>
      <c r="C352" s="7"/>
      <c r="D352" s="7"/>
      <c r="E352" s="8"/>
      <c r="G352" s="9"/>
      <c r="H352" s="60"/>
      <c r="I352" s="53"/>
      <c r="J352" s="10"/>
      <c r="K352" s="11"/>
      <c r="L352" s="10">
        <f t="shared" si="5"/>
        <v>0</v>
      </c>
      <c r="M352" s="12" t="str">
        <f>IFERROR(__xludf.DUMMYFUNCTION("+N352/L352"),"#DIV/0!")</f>
        <v>#DIV/0!</v>
      </c>
      <c r="N352" s="10"/>
      <c r="O352" s="13"/>
      <c r="P352" s="54"/>
      <c r="Q352" s="61"/>
      <c r="R352" s="61"/>
      <c r="S352" s="62"/>
      <c r="T352" s="15"/>
      <c r="U352" s="14"/>
      <c r="V352" s="16"/>
      <c r="W352" s="8"/>
      <c r="X352" s="23">
        <f t="shared" si="6"/>
        <v>0</v>
      </c>
      <c r="Y352" s="8"/>
      <c r="Z352" s="8" t="str">
        <f>VLOOKUP(F352,RANGOFECHAFINAL,25,FALSE)</f>
        <v>#N/A</v>
      </c>
      <c r="AA352" s="8"/>
      <c r="AB352" s="8"/>
      <c r="AC352" s="8"/>
      <c r="AD352" s="7"/>
    </row>
    <row r="353">
      <c r="A353" s="7"/>
      <c r="B353" s="7"/>
      <c r="C353" s="7"/>
      <c r="D353" s="7"/>
      <c r="E353" s="8"/>
      <c r="G353" s="9"/>
      <c r="H353" s="60"/>
      <c r="I353" s="53"/>
      <c r="J353" s="10"/>
      <c r="K353" s="11"/>
      <c r="L353" s="10">
        <f t="shared" si="5"/>
        <v>0</v>
      </c>
      <c r="M353" s="12" t="str">
        <f>IFERROR(__xludf.DUMMYFUNCTION("+N353/L353"),"#DIV/0!")</f>
        <v>#DIV/0!</v>
      </c>
      <c r="N353" s="10"/>
      <c r="O353" s="13"/>
      <c r="P353" s="54"/>
      <c r="Q353" s="61"/>
      <c r="R353" s="61"/>
      <c r="S353" s="62"/>
      <c r="T353" s="15"/>
      <c r="U353" s="14"/>
      <c r="V353" s="16"/>
      <c r="W353" s="8"/>
      <c r="X353" s="23">
        <f t="shared" si="6"/>
        <v>0</v>
      </c>
      <c r="Y353" s="8"/>
      <c r="Z353" s="8" t="str">
        <f>VLOOKUP(F353,RANGOFECHAFINAL,25,FALSE)</f>
        <v>#N/A</v>
      </c>
      <c r="AA353" s="8"/>
      <c r="AB353" s="8"/>
      <c r="AC353" s="8"/>
      <c r="AD353" s="7"/>
    </row>
    <row r="354">
      <c r="A354" s="7"/>
      <c r="B354" s="7"/>
      <c r="C354" s="7"/>
      <c r="D354" s="7"/>
      <c r="E354" s="8"/>
      <c r="G354" s="9"/>
      <c r="H354" s="60"/>
      <c r="I354" s="53"/>
      <c r="J354" s="10"/>
      <c r="K354" s="11"/>
      <c r="L354" s="10">
        <f t="shared" si="5"/>
        <v>0</v>
      </c>
      <c r="M354" s="12" t="str">
        <f>IFERROR(__xludf.DUMMYFUNCTION("+N354/L354"),"#DIV/0!")</f>
        <v>#DIV/0!</v>
      </c>
      <c r="N354" s="10"/>
      <c r="O354" s="13"/>
      <c r="P354" s="54"/>
      <c r="Q354" s="61"/>
      <c r="R354" s="61"/>
      <c r="S354" s="62"/>
      <c r="T354" s="15"/>
      <c r="U354" s="14"/>
      <c r="V354" s="16"/>
      <c r="W354" s="8"/>
      <c r="X354" s="23">
        <f t="shared" si="6"/>
        <v>0</v>
      </c>
      <c r="Y354" s="8"/>
      <c r="Z354" s="8" t="str">
        <f>VLOOKUP(F354,RANGOFECHAFINAL,25,FALSE)</f>
        <v>#N/A</v>
      </c>
      <c r="AA354" s="8"/>
      <c r="AB354" s="8"/>
      <c r="AC354" s="8"/>
      <c r="AD354" s="7"/>
    </row>
    <row r="355">
      <c r="A355" s="7">
        <v>394.0</v>
      </c>
      <c r="B355" s="7"/>
      <c r="C355" s="7"/>
      <c r="D355" s="7"/>
      <c r="E355" s="8"/>
      <c r="G355" s="9"/>
      <c r="H355" s="60"/>
      <c r="I355" s="53"/>
      <c r="J355" s="63"/>
      <c r="K355" s="11"/>
      <c r="L355" s="10">
        <f t="shared" si="5"/>
        <v>0</v>
      </c>
      <c r="M355" s="12" t="str">
        <f>IFERROR(__xludf.DUMMYFUNCTION("+N355/L355"),"#DIV/0!")</f>
        <v>#DIV/0!</v>
      </c>
      <c r="N355" s="10"/>
      <c r="O355" s="13"/>
      <c r="P355" s="54"/>
      <c r="Q355" s="61"/>
      <c r="R355" s="61"/>
      <c r="S355" s="62"/>
      <c r="T355" s="15"/>
      <c r="U355" s="14"/>
      <c r="V355" s="16"/>
      <c r="W355" s="8"/>
      <c r="X355" s="23">
        <f t="shared" si="6"/>
        <v>0</v>
      </c>
      <c r="Y355" s="8"/>
      <c r="Z355" s="8" t="str">
        <f>VLOOKUP(F355,RANGOFECHAFINAL,25,FALSE)</f>
        <v>#N/A</v>
      </c>
      <c r="AA355" s="8"/>
      <c r="AB355" s="8"/>
      <c r="AC355" s="8"/>
      <c r="AD355" s="7"/>
    </row>
    <row r="356">
      <c r="A356" s="7">
        <v>395.0</v>
      </c>
      <c r="B356" s="7"/>
      <c r="C356" s="7"/>
      <c r="D356" s="7"/>
      <c r="E356" s="8"/>
      <c r="G356" s="9"/>
      <c r="H356" s="60"/>
      <c r="I356" s="53"/>
      <c r="J356" s="63"/>
      <c r="K356" s="11"/>
      <c r="L356" s="10">
        <f t="shared" si="5"/>
        <v>0</v>
      </c>
      <c r="M356" s="12" t="str">
        <f>IFERROR(__xludf.DUMMYFUNCTION("+N356/L356"),"#DIV/0!")</f>
        <v>#DIV/0!</v>
      </c>
      <c r="N356" s="10"/>
      <c r="O356" s="13"/>
      <c r="P356" s="54"/>
      <c r="Q356" s="61"/>
      <c r="R356" s="61"/>
      <c r="S356" s="62"/>
      <c r="T356" s="15"/>
      <c r="U356" s="14"/>
      <c r="V356" s="16"/>
      <c r="W356" s="8"/>
      <c r="X356" s="23">
        <f t="shared" si="6"/>
        <v>0</v>
      </c>
      <c r="Y356" s="8"/>
      <c r="Z356" s="8" t="str">
        <f>VLOOKUP(F356,RANGOFECHAFINAL,25,FALSE)</f>
        <v>#N/A</v>
      </c>
      <c r="AA356" s="8"/>
      <c r="AB356" s="8"/>
      <c r="AC356" s="8"/>
      <c r="AD356" s="7"/>
    </row>
    <row r="357">
      <c r="A357" s="7">
        <v>396.0</v>
      </c>
      <c r="B357" s="7"/>
      <c r="C357" s="7"/>
      <c r="D357" s="7"/>
      <c r="E357" s="8"/>
      <c r="G357" s="9"/>
      <c r="H357" s="60"/>
      <c r="I357" s="53"/>
      <c r="J357" s="63"/>
      <c r="K357" s="11"/>
      <c r="L357" s="10">
        <f t="shared" si="5"/>
        <v>0</v>
      </c>
      <c r="M357" s="12" t="str">
        <f>IFERROR(__xludf.DUMMYFUNCTION("+N357/L357"),"#DIV/0!")</f>
        <v>#DIV/0!</v>
      </c>
      <c r="N357" s="10"/>
      <c r="O357" s="13"/>
      <c r="P357" s="54"/>
      <c r="Q357" s="61"/>
      <c r="R357" s="61"/>
      <c r="S357" s="62"/>
      <c r="T357" s="15"/>
      <c r="U357" s="14"/>
      <c r="V357" s="16"/>
      <c r="W357" s="8"/>
      <c r="X357" s="23">
        <f t="shared" si="6"/>
        <v>0</v>
      </c>
      <c r="Y357" s="8"/>
      <c r="Z357" s="8" t="str">
        <f>VLOOKUP(F357,RANGOFECHAFINAL,25,FALSE)</f>
        <v>#N/A</v>
      </c>
      <c r="AA357" s="8"/>
      <c r="AB357" s="8"/>
      <c r="AC357" s="8"/>
      <c r="AD357" s="7"/>
    </row>
    <row r="358">
      <c r="A358" s="7">
        <v>397.0</v>
      </c>
      <c r="B358" s="7"/>
      <c r="C358" s="7"/>
      <c r="D358" s="7"/>
      <c r="E358" s="8"/>
      <c r="G358" s="9"/>
      <c r="H358" s="60"/>
      <c r="I358" s="53"/>
      <c r="J358" s="63"/>
      <c r="K358" s="11"/>
      <c r="L358" s="10">
        <f t="shared" si="5"/>
        <v>0</v>
      </c>
      <c r="M358" s="12" t="str">
        <f>IFERROR(__xludf.DUMMYFUNCTION("+N358/L358"),"#DIV/0!")</f>
        <v>#DIV/0!</v>
      </c>
      <c r="N358" s="10"/>
      <c r="O358" s="13"/>
      <c r="P358" s="54"/>
      <c r="Q358" s="61"/>
      <c r="R358" s="61"/>
      <c r="S358" s="62"/>
      <c r="T358" s="15"/>
      <c r="U358" s="14"/>
      <c r="V358" s="16"/>
      <c r="W358" s="8"/>
      <c r="X358" s="23">
        <f t="shared" si="6"/>
        <v>0</v>
      </c>
      <c r="Y358" s="8"/>
      <c r="Z358" s="8" t="str">
        <f>VLOOKUP(F358,RANGOFECHAFINAL,25,FALSE)</f>
        <v>#N/A</v>
      </c>
      <c r="AA358" s="8"/>
      <c r="AB358" s="8"/>
      <c r="AC358" s="8"/>
      <c r="AD358" s="7"/>
    </row>
    <row r="359">
      <c r="A359" s="7">
        <v>398.0</v>
      </c>
      <c r="B359" s="7"/>
      <c r="C359" s="7"/>
      <c r="D359" s="7"/>
      <c r="E359" s="8"/>
      <c r="G359" s="9"/>
      <c r="H359" s="60"/>
      <c r="I359" s="53"/>
      <c r="J359" s="63"/>
      <c r="K359" s="11"/>
      <c r="L359" s="10">
        <f t="shared" si="5"/>
        <v>0</v>
      </c>
      <c r="M359" s="12" t="str">
        <f>IFERROR(__xludf.DUMMYFUNCTION("+N359/L359"),"#DIV/0!")</f>
        <v>#DIV/0!</v>
      </c>
      <c r="N359" s="10"/>
      <c r="O359" s="13"/>
      <c r="P359" s="54"/>
      <c r="Q359" s="61"/>
      <c r="R359" s="61"/>
      <c r="S359" s="62"/>
      <c r="T359" s="15"/>
      <c r="U359" s="14"/>
      <c r="V359" s="16"/>
      <c r="W359" s="8"/>
      <c r="X359" s="23">
        <f t="shared" si="6"/>
        <v>0</v>
      </c>
      <c r="Y359" s="8"/>
      <c r="Z359" s="8" t="str">
        <f>VLOOKUP(F359,RANGOFECHAFINAL,25,FALSE)</f>
        <v>#N/A</v>
      </c>
      <c r="AA359" s="8"/>
      <c r="AB359" s="8"/>
      <c r="AC359" s="8"/>
      <c r="AD359" s="7"/>
    </row>
    <row r="360">
      <c r="A360" s="7">
        <v>399.0</v>
      </c>
      <c r="B360" s="7"/>
      <c r="C360" s="7"/>
      <c r="D360" s="7"/>
      <c r="E360" s="8"/>
      <c r="G360" s="9"/>
      <c r="H360" s="60"/>
      <c r="I360" s="53"/>
      <c r="J360" s="63"/>
      <c r="K360" s="11"/>
      <c r="L360" s="10">
        <f t="shared" si="5"/>
        <v>0</v>
      </c>
      <c r="M360" s="12" t="str">
        <f>IFERROR(__xludf.DUMMYFUNCTION("+N360/L360"),"#DIV/0!")</f>
        <v>#DIV/0!</v>
      </c>
      <c r="N360" s="10"/>
      <c r="O360" s="13"/>
      <c r="P360" s="54"/>
      <c r="Q360" s="61"/>
      <c r="R360" s="61"/>
      <c r="S360" s="62"/>
      <c r="T360" s="15"/>
      <c r="U360" s="14"/>
      <c r="V360" s="16"/>
      <c r="W360" s="8"/>
      <c r="X360" s="23">
        <f t="shared" si="6"/>
        <v>0</v>
      </c>
      <c r="Y360" s="8"/>
      <c r="Z360" s="8" t="str">
        <f>VLOOKUP(F360,RANGOFECHAFINAL,25,FALSE)</f>
        <v>#N/A</v>
      </c>
      <c r="AA360" s="8"/>
      <c r="AB360" s="8"/>
      <c r="AC360" s="8"/>
      <c r="AD360" s="7"/>
    </row>
    <row r="361">
      <c r="A361" s="7">
        <v>400.0</v>
      </c>
      <c r="B361" s="7"/>
      <c r="C361" s="7"/>
      <c r="D361" s="7"/>
      <c r="E361" s="8"/>
      <c r="G361" s="9"/>
      <c r="H361" s="60"/>
      <c r="I361" s="53"/>
      <c r="J361" s="63"/>
      <c r="K361" s="11"/>
      <c r="L361" s="10">
        <f t="shared" si="5"/>
        <v>0</v>
      </c>
      <c r="M361" s="12" t="str">
        <f>IFERROR(__xludf.DUMMYFUNCTION("+N361/L361"),"#DIV/0!")</f>
        <v>#DIV/0!</v>
      </c>
      <c r="N361" s="10"/>
      <c r="O361" s="13"/>
      <c r="P361" s="54"/>
      <c r="Q361" s="61"/>
      <c r="R361" s="61"/>
      <c r="S361" s="62"/>
      <c r="T361" s="15"/>
      <c r="U361" s="14"/>
      <c r="V361" s="16"/>
      <c r="W361" s="8"/>
      <c r="X361" s="23">
        <f t="shared" si="6"/>
        <v>0</v>
      </c>
      <c r="Y361" s="8"/>
      <c r="Z361" s="8" t="str">
        <f>VLOOKUP(F361,RANGOFECHAFINAL,25,FALSE)</f>
        <v>#N/A</v>
      </c>
      <c r="AA361" s="8"/>
      <c r="AB361" s="8"/>
      <c r="AC361" s="8"/>
      <c r="AD361" s="7"/>
    </row>
    <row r="362">
      <c r="A362" s="7">
        <v>401.0</v>
      </c>
      <c r="B362" s="7"/>
      <c r="C362" s="7"/>
      <c r="D362" s="7"/>
      <c r="E362" s="8"/>
      <c r="G362" s="9"/>
      <c r="H362" s="60"/>
      <c r="I362" s="53"/>
      <c r="J362" s="63"/>
      <c r="K362" s="11"/>
      <c r="L362" s="10">
        <f t="shared" si="5"/>
        <v>0</v>
      </c>
      <c r="M362" s="12" t="str">
        <f>IFERROR(__xludf.DUMMYFUNCTION("+N362/L362"),"#DIV/0!")</f>
        <v>#DIV/0!</v>
      </c>
      <c r="N362" s="10"/>
      <c r="O362" s="13"/>
      <c r="P362" s="54"/>
      <c r="Q362" s="61"/>
      <c r="R362" s="61"/>
      <c r="S362" s="62"/>
      <c r="T362" s="15"/>
      <c r="U362" s="14"/>
      <c r="V362" s="16"/>
      <c r="W362" s="8"/>
      <c r="X362" s="23">
        <f t="shared" si="6"/>
        <v>0</v>
      </c>
      <c r="Y362" s="8"/>
      <c r="Z362" s="8" t="str">
        <f>VLOOKUP(F362,RANGOFECHAFINAL,25,FALSE)</f>
        <v>#N/A</v>
      </c>
      <c r="AA362" s="8"/>
      <c r="AB362" s="8"/>
      <c r="AC362" s="8"/>
      <c r="AD362" s="7"/>
    </row>
    <row r="363">
      <c r="A363" s="7">
        <v>402.0</v>
      </c>
      <c r="B363" s="7"/>
      <c r="C363" s="7"/>
      <c r="D363" s="7"/>
      <c r="E363" s="8"/>
      <c r="G363" s="9"/>
      <c r="H363" s="60"/>
      <c r="I363" s="53"/>
      <c r="J363" s="63"/>
      <c r="K363" s="11"/>
      <c r="L363" s="10">
        <f t="shared" si="5"/>
        <v>0</v>
      </c>
      <c r="M363" s="12" t="str">
        <f>IFERROR(__xludf.DUMMYFUNCTION("+N363/L363"),"#DIV/0!")</f>
        <v>#DIV/0!</v>
      </c>
      <c r="N363" s="10"/>
      <c r="O363" s="13"/>
      <c r="P363" s="54"/>
      <c r="Q363" s="61"/>
      <c r="R363" s="61"/>
      <c r="S363" s="62"/>
      <c r="T363" s="15"/>
      <c r="U363" s="14"/>
      <c r="V363" s="16"/>
      <c r="W363" s="8"/>
      <c r="X363" s="23">
        <f t="shared" si="6"/>
        <v>0</v>
      </c>
      <c r="Y363" s="8"/>
      <c r="Z363" s="8" t="str">
        <f>VLOOKUP(F363,RANGOFECHAFINAL,25,FALSE)</f>
        <v>#N/A</v>
      </c>
      <c r="AA363" s="8"/>
      <c r="AB363" s="8"/>
      <c r="AC363" s="8"/>
      <c r="AD363" s="7"/>
    </row>
    <row r="364">
      <c r="A364" s="7">
        <v>403.0</v>
      </c>
      <c r="B364" s="7"/>
      <c r="C364" s="7"/>
      <c r="D364" s="7"/>
      <c r="E364" s="8"/>
      <c r="G364" s="9"/>
      <c r="H364" s="60"/>
      <c r="I364" s="53"/>
      <c r="J364" s="63"/>
      <c r="K364" s="11"/>
      <c r="L364" s="10">
        <f t="shared" si="5"/>
        <v>0</v>
      </c>
      <c r="M364" s="12" t="str">
        <f>IFERROR(__xludf.DUMMYFUNCTION("+N364/L364"),"#DIV/0!")</f>
        <v>#DIV/0!</v>
      </c>
      <c r="N364" s="10"/>
      <c r="O364" s="13"/>
      <c r="P364" s="54"/>
      <c r="Q364" s="61"/>
      <c r="R364" s="61"/>
      <c r="S364" s="62"/>
      <c r="T364" s="15"/>
      <c r="U364" s="14"/>
      <c r="V364" s="16"/>
      <c r="W364" s="8"/>
      <c r="X364" s="23">
        <f t="shared" si="6"/>
        <v>0</v>
      </c>
      <c r="Y364" s="8"/>
      <c r="Z364" s="8" t="str">
        <f>VLOOKUP(F364,RANGOFECHAFINAL,25,FALSE)</f>
        <v>#N/A</v>
      </c>
      <c r="AA364" s="8"/>
      <c r="AB364" s="8"/>
      <c r="AC364" s="8"/>
      <c r="AD364" s="7"/>
    </row>
    <row r="365">
      <c r="A365" s="7">
        <v>404.0</v>
      </c>
      <c r="B365" s="7"/>
      <c r="C365" s="7"/>
      <c r="D365" s="7"/>
      <c r="E365" s="8"/>
      <c r="G365" s="9"/>
      <c r="H365" s="60"/>
      <c r="I365" s="53"/>
      <c r="J365" s="63"/>
      <c r="K365" s="11"/>
      <c r="L365" s="10">
        <f t="shared" si="5"/>
        <v>0</v>
      </c>
      <c r="M365" s="12" t="str">
        <f>IFERROR(__xludf.DUMMYFUNCTION("+N365/L365"),"#DIV/0!")</f>
        <v>#DIV/0!</v>
      </c>
      <c r="N365" s="10"/>
      <c r="O365" s="13"/>
      <c r="P365" s="54"/>
      <c r="Q365" s="61"/>
      <c r="R365" s="61"/>
      <c r="S365" s="62"/>
      <c r="T365" s="15"/>
      <c r="U365" s="14"/>
      <c r="V365" s="16"/>
      <c r="W365" s="8"/>
      <c r="X365" s="23">
        <f t="shared" si="6"/>
        <v>0</v>
      </c>
      <c r="Y365" s="8"/>
      <c r="Z365" s="8" t="str">
        <f>VLOOKUP(F365,RANGOFECHAFINAL,25,FALSE)</f>
        <v>#N/A</v>
      </c>
      <c r="AA365" s="8"/>
      <c r="AB365" s="8"/>
      <c r="AC365" s="8"/>
      <c r="AD365" s="7"/>
    </row>
    <row r="366">
      <c r="A366" s="7">
        <v>405.0</v>
      </c>
      <c r="B366" s="7"/>
      <c r="C366" s="7"/>
      <c r="D366" s="7"/>
      <c r="E366" s="8"/>
      <c r="G366" s="9"/>
      <c r="H366" s="60"/>
      <c r="I366" s="53"/>
      <c r="J366" s="63"/>
      <c r="K366" s="11"/>
      <c r="L366" s="10">
        <f t="shared" si="5"/>
        <v>0</v>
      </c>
      <c r="M366" s="12" t="str">
        <f>IFERROR(__xludf.DUMMYFUNCTION("+N366/L366"),"#DIV/0!")</f>
        <v>#DIV/0!</v>
      </c>
      <c r="N366" s="10"/>
      <c r="O366" s="13"/>
      <c r="P366" s="54"/>
      <c r="Q366" s="61"/>
      <c r="R366" s="61"/>
      <c r="S366" s="62"/>
      <c r="T366" s="15"/>
      <c r="U366" s="14"/>
      <c r="V366" s="16"/>
      <c r="W366" s="8"/>
      <c r="X366" s="23">
        <f t="shared" si="6"/>
        <v>0</v>
      </c>
      <c r="Y366" s="8"/>
      <c r="Z366" s="8" t="str">
        <f>VLOOKUP(F366,RANGOFECHAFINAL,25,FALSE)</f>
        <v>#N/A</v>
      </c>
      <c r="AA366" s="8"/>
      <c r="AB366" s="8"/>
      <c r="AC366" s="8"/>
      <c r="AD366" s="7"/>
    </row>
    <row r="367">
      <c r="A367" s="7">
        <v>406.0</v>
      </c>
      <c r="B367" s="7"/>
      <c r="C367" s="7"/>
      <c r="D367" s="7"/>
      <c r="E367" s="8"/>
      <c r="G367" s="9"/>
      <c r="H367" s="60"/>
      <c r="I367" s="53"/>
      <c r="J367" s="63"/>
      <c r="K367" s="11"/>
      <c r="L367" s="10">
        <f t="shared" si="5"/>
        <v>0</v>
      </c>
      <c r="M367" s="12" t="str">
        <f>IFERROR(__xludf.DUMMYFUNCTION("+N367/L367"),"#DIV/0!")</f>
        <v>#DIV/0!</v>
      </c>
      <c r="N367" s="10"/>
      <c r="O367" s="13"/>
      <c r="P367" s="54"/>
      <c r="Q367" s="61"/>
      <c r="R367" s="61"/>
      <c r="S367" s="62"/>
      <c r="T367" s="15"/>
      <c r="U367" s="14"/>
      <c r="V367" s="16"/>
      <c r="W367" s="8"/>
      <c r="X367" s="23">
        <f t="shared" si="6"/>
        <v>0</v>
      </c>
      <c r="Y367" s="8"/>
      <c r="Z367" s="8" t="str">
        <f>VLOOKUP(F367,RANGOFECHAFINAL,25,FALSE)</f>
        <v>#N/A</v>
      </c>
      <c r="AA367" s="8"/>
      <c r="AB367" s="8"/>
      <c r="AC367" s="8"/>
      <c r="AD367" s="7"/>
    </row>
    <row r="368">
      <c r="A368" s="7">
        <v>407.0</v>
      </c>
      <c r="B368" s="7"/>
      <c r="C368" s="7"/>
      <c r="D368" s="7"/>
      <c r="E368" s="8"/>
      <c r="G368" s="9"/>
      <c r="H368" s="60"/>
      <c r="I368" s="53"/>
      <c r="J368" s="63"/>
      <c r="K368" s="11"/>
      <c r="L368" s="10">
        <f t="shared" si="5"/>
        <v>0</v>
      </c>
      <c r="M368" s="12" t="str">
        <f>IFERROR(__xludf.DUMMYFUNCTION("+N368/L368"),"#DIV/0!")</f>
        <v>#DIV/0!</v>
      </c>
      <c r="N368" s="10"/>
      <c r="O368" s="13"/>
      <c r="P368" s="54"/>
      <c r="Q368" s="61"/>
      <c r="R368" s="61"/>
      <c r="S368" s="62"/>
      <c r="T368" s="15"/>
      <c r="U368" s="14"/>
      <c r="V368" s="16"/>
      <c r="W368" s="8"/>
      <c r="X368" s="23">
        <f t="shared" si="6"/>
        <v>0</v>
      </c>
      <c r="Y368" s="8"/>
      <c r="Z368" s="8" t="str">
        <f>VLOOKUP(F368,RANGOFECHAFINAL,25,FALSE)</f>
        <v>#N/A</v>
      </c>
      <c r="AA368" s="8"/>
      <c r="AB368" s="8"/>
      <c r="AC368" s="8"/>
      <c r="AD368" s="7"/>
    </row>
    <row r="369">
      <c r="A369" s="7">
        <v>408.0</v>
      </c>
      <c r="B369" s="7"/>
      <c r="C369" s="7"/>
      <c r="D369" s="7"/>
      <c r="E369" s="8"/>
      <c r="G369" s="9"/>
      <c r="H369" s="60"/>
      <c r="I369" s="53"/>
      <c r="J369" s="63"/>
      <c r="K369" s="11"/>
      <c r="L369" s="10"/>
      <c r="M369" s="12"/>
      <c r="N369" s="10"/>
      <c r="O369" s="13"/>
      <c r="P369" s="54"/>
      <c r="Q369" s="61"/>
      <c r="R369" s="61"/>
      <c r="S369" s="62"/>
      <c r="T369" s="15"/>
      <c r="U369" s="14"/>
      <c r="V369" s="16"/>
      <c r="W369" s="8"/>
      <c r="X369" s="23">
        <f t="shared" si="6"/>
        <v>0</v>
      </c>
      <c r="Y369" s="8"/>
      <c r="Z369" s="8" t="str">
        <f>VLOOKUP(F369,RANGOFECHAFINAL,25,FALSE)</f>
        <v>#N/A</v>
      </c>
      <c r="AA369" s="8"/>
      <c r="AB369" s="8"/>
      <c r="AC369" s="8"/>
      <c r="AD369" s="7"/>
    </row>
    <row r="370">
      <c r="A370" s="7">
        <v>409.0</v>
      </c>
      <c r="B370" s="7"/>
      <c r="C370" s="7"/>
      <c r="D370" s="7"/>
      <c r="E370" s="8"/>
      <c r="G370" s="9"/>
      <c r="H370" s="60"/>
      <c r="I370" s="53"/>
      <c r="J370" s="63"/>
      <c r="K370" s="11"/>
      <c r="L370" s="10"/>
      <c r="M370" s="12"/>
      <c r="N370" s="10"/>
      <c r="O370" s="13"/>
      <c r="P370" s="54"/>
      <c r="Q370" s="61"/>
      <c r="R370" s="61"/>
      <c r="S370" s="62"/>
      <c r="T370" s="15"/>
      <c r="U370" s="14"/>
      <c r="V370" s="16"/>
      <c r="W370" s="8"/>
      <c r="X370" s="23">
        <f t="shared" si="6"/>
        <v>0</v>
      </c>
      <c r="Y370" s="8"/>
      <c r="Z370" s="8" t="str">
        <f>VLOOKUP(F370,RANGOFECHAFINAL,25,FALSE)</f>
        <v>#N/A</v>
      </c>
      <c r="AA370" s="8"/>
      <c r="AB370" s="8"/>
      <c r="AC370" s="8"/>
      <c r="AD370" s="7"/>
    </row>
    <row r="371">
      <c r="A371" s="7">
        <v>410.0</v>
      </c>
      <c r="B371" s="7"/>
      <c r="C371" s="7"/>
      <c r="D371" s="7"/>
      <c r="E371" s="8"/>
      <c r="G371" s="9"/>
      <c r="H371" s="60"/>
      <c r="I371" s="53"/>
      <c r="J371" s="63"/>
      <c r="K371" s="11"/>
      <c r="L371" s="10"/>
      <c r="M371" s="12"/>
      <c r="N371" s="10"/>
      <c r="O371" s="13"/>
      <c r="P371" s="54"/>
      <c r="Q371" s="61"/>
      <c r="R371" s="61"/>
      <c r="S371" s="62"/>
      <c r="T371" s="15"/>
      <c r="U371" s="14"/>
      <c r="V371" s="16"/>
      <c r="W371" s="8"/>
      <c r="X371" s="23">
        <f t="shared" si="6"/>
        <v>0</v>
      </c>
      <c r="Y371" s="8"/>
      <c r="Z371" s="8" t="str">
        <f>VLOOKUP(F371,RANGOFECHAFINAL,25,FALSE)</f>
        <v>#N/A</v>
      </c>
      <c r="AA371" s="8"/>
      <c r="AB371" s="8"/>
      <c r="AC371" s="8"/>
      <c r="AD371" s="7"/>
    </row>
    <row r="372">
      <c r="A372" s="7">
        <v>411.0</v>
      </c>
      <c r="B372" s="7"/>
      <c r="C372" s="7"/>
      <c r="D372" s="7"/>
      <c r="E372" s="8"/>
      <c r="G372" s="9"/>
      <c r="H372" s="60"/>
      <c r="I372" s="53"/>
      <c r="J372" s="63"/>
      <c r="K372" s="11"/>
      <c r="L372" s="10"/>
      <c r="M372" s="12"/>
      <c r="N372" s="10"/>
      <c r="O372" s="13"/>
      <c r="P372" s="54"/>
      <c r="Q372" s="61"/>
      <c r="R372" s="61"/>
      <c r="S372" s="62"/>
      <c r="T372" s="15"/>
      <c r="U372" s="14"/>
      <c r="V372" s="16"/>
      <c r="W372" s="8"/>
      <c r="X372" s="23">
        <f t="shared" si="6"/>
        <v>0</v>
      </c>
      <c r="Y372" s="8"/>
      <c r="Z372" s="8" t="str">
        <f>VLOOKUP(F372,RANGOFECHAFINAL,25,FALSE)</f>
        <v>#N/A</v>
      </c>
      <c r="AA372" s="8"/>
      <c r="AB372" s="8"/>
      <c r="AC372" s="8"/>
      <c r="AD372" s="7"/>
    </row>
    <row r="373">
      <c r="A373" s="7">
        <v>412.0</v>
      </c>
      <c r="B373" s="7"/>
      <c r="C373" s="7"/>
      <c r="D373" s="7"/>
      <c r="E373" s="8"/>
      <c r="G373" s="9"/>
      <c r="H373" s="60"/>
      <c r="I373" s="53"/>
      <c r="J373" s="63"/>
      <c r="K373" s="11"/>
      <c r="L373" s="10"/>
      <c r="M373" s="12"/>
      <c r="N373" s="10"/>
      <c r="O373" s="13"/>
      <c r="P373" s="54"/>
      <c r="Q373" s="61"/>
      <c r="R373" s="61"/>
      <c r="S373" s="62"/>
      <c r="T373" s="15"/>
      <c r="U373" s="14"/>
      <c r="V373" s="16"/>
      <c r="W373" s="8"/>
      <c r="X373" s="23">
        <f t="shared" si="6"/>
        <v>0</v>
      </c>
      <c r="Y373" s="8"/>
      <c r="Z373" s="8" t="str">
        <f>VLOOKUP(F373,RANGOFECHAFINAL,25,FALSE)</f>
        <v>#N/A</v>
      </c>
      <c r="AA373" s="8"/>
      <c r="AB373" s="8"/>
      <c r="AC373" s="8"/>
      <c r="AD373" s="7"/>
    </row>
    <row r="374">
      <c r="A374" s="7">
        <v>413.0</v>
      </c>
      <c r="B374" s="7"/>
      <c r="C374" s="7"/>
      <c r="D374" s="7"/>
      <c r="E374" s="8"/>
      <c r="G374" s="9"/>
      <c r="H374" s="60"/>
      <c r="I374" s="53"/>
      <c r="J374" s="63"/>
      <c r="K374" s="11"/>
      <c r="L374" s="10"/>
      <c r="M374" s="12"/>
      <c r="N374" s="10"/>
      <c r="O374" s="13"/>
      <c r="P374" s="54"/>
      <c r="Q374" s="61"/>
      <c r="R374" s="61"/>
      <c r="S374" s="62"/>
      <c r="T374" s="15"/>
      <c r="U374" s="14"/>
      <c r="V374" s="16"/>
      <c r="W374" s="8"/>
      <c r="X374" s="23">
        <f t="shared" si="6"/>
        <v>0</v>
      </c>
      <c r="Y374" s="8"/>
      <c r="Z374" s="8" t="str">
        <f>VLOOKUP(F374,RANGOFECHAFINAL,25,FALSE)</f>
        <v>#N/A</v>
      </c>
      <c r="AA374" s="8"/>
      <c r="AB374" s="8"/>
      <c r="AC374" s="8"/>
      <c r="AD374" s="7"/>
    </row>
    <row r="375">
      <c r="A375" s="7">
        <v>414.0</v>
      </c>
      <c r="B375" s="7"/>
      <c r="C375" s="7"/>
      <c r="D375" s="7"/>
      <c r="E375" s="8"/>
      <c r="G375" s="9"/>
      <c r="H375" s="60"/>
      <c r="I375" s="53"/>
      <c r="J375" s="63"/>
      <c r="K375" s="11"/>
      <c r="L375" s="10"/>
      <c r="M375" s="12"/>
      <c r="N375" s="10"/>
      <c r="O375" s="13"/>
      <c r="P375" s="54"/>
      <c r="Q375" s="61"/>
      <c r="R375" s="61"/>
      <c r="S375" s="62"/>
      <c r="T375" s="15"/>
      <c r="U375" s="14"/>
      <c r="V375" s="16"/>
      <c r="W375" s="8"/>
      <c r="X375" s="23">
        <f t="shared" si="6"/>
        <v>0</v>
      </c>
      <c r="Y375" s="8"/>
      <c r="Z375" s="8" t="str">
        <f>VLOOKUP(F375,RANGOFECHAFINAL,25,FALSE)</f>
        <v>#N/A</v>
      </c>
      <c r="AA375" s="8"/>
      <c r="AB375" s="8"/>
      <c r="AC375" s="8"/>
      <c r="AD375" s="7"/>
    </row>
    <row r="376">
      <c r="A376" s="7">
        <v>415.0</v>
      </c>
      <c r="B376" s="7"/>
      <c r="C376" s="7"/>
      <c r="D376" s="7"/>
      <c r="E376" s="8"/>
      <c r="G376" s="9"/>
      <c r="H376" s="60"/>
      <c r="I376" s="53"/>
      <c r="J376" s="63"/>
      <c r="K376" s="11"/>
      <c r="L376" s="10"/>
      <c r="M376" s="12"/>
      <c r="N376" s="10"/>
      <c r="O376" s="13"/>
      <c r="P376" s="54"/>
      <c r="Q376" s="61"/>
      <c r="R376" s="61"/>
      <c r="S376" s="62"/>
      <c r="T376" s="15"/>
      <c r="U376" s="14"/>
      <c r="V376" s="16"/>
      <c r="W376" s="8"/>
      <c r="X376" s="23">
        <f t="shared" si="6"/>
        <v>0</v>
      </c>
      <c r="Y376" s="8"/>
      <c r="Z376" s="8" t="str">
        <f>VLOOKUP(F376,RANGOFECHAFINAL,25,FALSE)</f>
        <v>#N/A</v>
      </c>
      <c r="AA376" s="8"/>
      <c r="AB376" s="8"/>
      <c r="AC376" s="8"/>
      <c r="AD376" s="7"/>
    </row>
    <row r="377">
      <c r="A377" s="7">
        <v>416.0</v>
      </c>
      <c r="B377" s="7"/>
      <c r="C377" s="7"/>
      <c r="D377" s="7"/>
      <c r="E377" s="8"/>
      <c r="G377" s="9"/>
      <c r="H377" s="60"/>
      <c r="I377" s="53"/>
      <c r="J377" s="63"/>
      <c r="K377" s="11"/>
      <c r="L377" s="10"/>
      <c r="M377" s="12"/>
      <c r="N377" s="10"/>
      <c r="O377" s="13"/>
      <c r="P377" s="54"/>
      <c r="Q377" s="61"/>
      <c r="R377" s="61"/>
      <c r="S377" s="62"/>
      <c r="T377" s="15"/>
      <c r="U377" s="14"/>
      <c r="V377" s="16"/>
      <c r="W377" s="8"/>
      <c r="X377" s="23">
        <f t="shared" si="6"/>
        <v>0</v>
      </c>
      <c r="Y377" s="8"/>
      <c r="Z377" s="8" t="str">
        <f>VLOOKUP(F377,RANGOFECHAFINAL,25,FALSE)</f>
        <v>#N/A</v>
      </c>
      <c r="AA377" s="8"/>
      <c r="AB377" s="8"/>
      <c r="AC377" s="8"/>
      <c r="AD377" s="7"/>
    </row>
    <row r="378">
      <c r="A378" s="7">
        <v>417.0</v>
      </c>
      <c r="B378" s="7"/>
      <c r="C378" s="7"/>
      <c r="D378" s="7"/>
      <c r="E378" s="8"/>
      <c r="G378" s="9"/>
      <c r="H378" s="60"/>
      <c r="I378" s="53"/>
      <c r="J378" s="63"/>
      <c r="K378" s="11"/>
      <c r="L378" s="10"/>
      <c r="M378" s="12"/>
      <c r="N378" s="10"/>
      <c r="O378" s="13"/>
      <c r="P378" s="54"/>
      <c r="Q378" s="61"/>
      <c r="R378" s="61"/>
      <c r="S378" s="62"/>
      <c r="T378" s="15"/>
      <c r="U378" s="14"/>
      <c r="V378" s="16"/>
      <c r="W378" s="8"/>
      <c r="X378" s="23">
        <f t="shared" si="6"/>
        <v>0</v>
      </c>
      <c r="Y378" s="8"/>
      <c r="Z378" s="8" t="str">
        <f>VLOOKUP(F378,RANGOFECHAFINAL,25,FALSE)</f>
        <v>#N/A</v>
      </c>
      <c r="AA378" s="8"/>
      <c r="AB378" s="8"/>
      <c r="AC378" s="8"/>
      <c r="AD378" s="7"/>
    </row>
    <row r="379">
      <c r="A379" s="7">
        <v>418.0</v>
      </c>
      <c r="B379" s="7"/>
      <c r="C379" s="7"/>
      <c r="D379" s="7"/>
      <c r="E379" s="8"/>
      <c r="G379" s="9"/>
      <c r="H379" s="60"/>
      <c r="I379" s="53"/>
      <c r="J379" s="63"/>
      <c r="K379" s="11"/>
      <c r="L379" s="10"/>
      <c r="M379" s="12"/>
      <c r="N379" s="10"/>
      <c r="O379" s="13"/>
      <c r="P379" s="54"/>
      <c r="Q379" s="61"/>
      <c r="R379" s="61"/>
      <c r="S379" s="62"/>
      <c r="T379" s="15"/>
      <c r="U379" s="14"/>
      <c r="V379" s="16"/>
      <c r="W379" s="8"/>
      <c r="X379" s="23">
        <f t="shared" si="6"/>
        <v>0</v>
      </c>
      <c r="Y379" s="8"/>
      <c r="Z379" s="8" t="str">
        <f>VLOOKUP(F379,RANGOFECHAFINAL,25,FALSE)</f>
        <v>#N/A</v>
      </c>
      <c r="AA379" s="8"/>
      <c r="AB379" s="8"/>
      <c r="AC379" s="8"/>
      <c r="AD379" s="7"/>
    </row>
    <row r="380">
      <c r="A380" s="7">
        <v>419.0</v>
      </c>
      <c r="B380" s="7"/>
      <c r="C380" s="7"/>
      <c r="D380" s="7"/>
      <c r="E380" s="8"/>
      <c r="G380" s="9"/>
      <c r="H380" s="60"/>
      <c r="I380" s="53"/>
      <c r="J380" s="63"/>
      <c r="K380" s="11"/>
      <c r="L380" s="10"/>
      <c r="M380" s="12"/>
      <c r="N380" s="10"/>
      <c r="O380" s="13"/>
      <c r="P380" s="54"/>
      <c r="Q380" s="61"/>
      <c r="R380" s="61"/>
      <c r="S380" s="62"/>
      <c r="T380" s="15"/>
      <c r="U380" s="14"/>
      <c r="V380" s="16"/>
      <c r="W380" s="8"/>
      <c r="X380" s="23">
        <f t="shared" si="6"/>
        <v>0</v>
      </c>
      <c r="Y380" s="8"/>
      <c r="Z380" s="8" t="str">
        <f>VLOOKUP(F380,RANGOFECHAFINAL,25,FALSE)</f>
        <v>#N/A</v>
      </c>
      <c r="AA380" s="8"/>
      <c r="AB380" s="8"/>
      <c r="AC380" s="8"/>
      <c r="AD380" s="7"/>
    </row>
    <row r="381">
      <c r="A381" s="7">
        <v>420.0</v>
      </c>
      <c r="B381" s="7"/>
      <c r="C381" s="7"/>
      <c r="D381" s="7"/>
      <c r="E381" s="8"/>
      <c r="G381" s="9"/>
      <c r="H381" s="60"/>
      <c r="I381" s="53"/>
      <c r="J381" s="63"/>
      <c r="K381" s="11"/>
      <c r="L381" s="10"/>
      <c r="M381" s="12"/>
      <c r="N381" s="10"/>
      <c r="O381" s="13"/>
      <c r="P381" s="54"/>
      <c r="Q381" s="61"/>
      <c r="R381" s="61"/>
      <c r="S381" s="62"/>
      <c r="T381" s="15"/>
      <c r="U381" s="14"/>
      <c r="V381" s="16"/>
      <c r="W381" s="8"/>
      <c r="X381" s="23">
        <f t="shared" si="6"/>
        <v>0</v>
      </c>
      <c r="Y381" s="8"/>
      <c r="Z381" s="8" t="str">
        <f>VLOOKUP(F381,RANGOFECHAFINAL,25,FALSE)</f>
        <v>#N/A</v>
      </c>
      <c r="AA381" s="8"/>
      <c r="AB381" s="8"/>
      <c r="AC381" s="8"/>
      <c r="AD381" s="7"/>
    </row>
    <row r="382">
      <c r="A382" s="7">
        <v>421.0</v>
      </c>
      <c r="B382" s="7"/>
      <c r="C382" s="7"/>
      <c r="D382" s="7"/>
      <c r="E382" s="8"/>
      <c r="G382" s="9"/>
      <c r="H382" s="60"/>
      <c r="I382" s="53"/>
      <c r="J382" s="63"/>
      <c r="K382" s="11"/>
      <c r="L382" s="10"/>
      <c r="M382" s="12"/>
      <c r="N382" s="10"/>
      <c r="O382" s="13"/>
      <c r="P382" s="54"/>
      <c r="Q382" s="61"/>
      <c r="R382" s="61"/>
      <c r="S382" s="62"/>
      <c r="T382" s="15"/>
      <c r="U382" s="14"/>
      <c r="V382" s="16"/>
      <c r="W382" s="8"/>
      <c r="X382" s="23">
        <f t="shared" si="6"/>
        <v>0</v>
      </c>
      <c r="Y382" s="8"/>
      <c r="Z382" s="8" t="str">
        <f>VLOOKUP(F382,RANGOFECHAFINAL,25,FALSE)</f>
        <v>#N/A</v>
      </c>
      <c r="AA382" s="8"/>
      <c r="AB382" s="8"/>
      <c r="AC382" s="8"/>
      <c r="AD382" s="7"/>
    </row>
    <row r="383">
      <c r="A383" s="7">
        <v>422.0</v>
      </c>
      <c r="B383" s="7"/>
      <c r="C383" s="7"/>
      <c r="D383" s="7"/>
      <c r="E383" s="8"/>
      <c r="G383" s="9"/>
      <c r="H383" s="60"/>
      <c r="I383" s="53"/>
      <c r="J383" s="63"/>
      <c r="K383" s="11"/>
      <c r="L383" s="10"/>
      <c r="M383" s="12"/>
      <c r="N383" s="10"/>
      <c r="O383" s="13"/>
      <c r="P383" s="54"/>
      <c r="Q383" s="61"/>
      <c r="R383" s="61"/>
      <c r="S383" s="62"/>
      <c r="T383" s="15"/>
      <c r="U383" s="14"/>
      <c r="V383" s="16"/>
      <c r="W383" s="8"/>
      <c r="X383" s="23">
        <f t="shared" si="6"/>
        <v>0</v>
      </c>
      <c r="Y383" s="8"/>
      <c r="Z383" s="8" t="str">
        <f>VLOOKUP(F383,RANGOFECHAFINAL,25,FALSE)</f>
        <v>#N/A</v>
      </c>
      <c r="AA383" s="8"/>
      <c r="AB383" s="8"/>
      <c r="AC383" s="8"/>
      <c r="AD383" s="7"/>
    </row>
    <row r="384">
      <c r="A384" s="7">
        <v>423.0</v>
      </c>
      <c r="B384" s="7"/>
      <c r="C384" s="7"/>
      <c r="D384" s="7"/>
      <c r="E384" s="8"/>
      <c r="G384" s="9"/>
      <c r="H384" s="60"/>
      <c r="I384" s="53"/>
      <c r="J384" s="63"/>
      <c r="K384" s="11"/>
      <c r="L384" s="10"/>
      <c r="M384" s="12"/>
      <c r="N384" s="10"/>
      <c r="O384" s="13"/>
      <c r="P384" s="54"/>
      <c r="Q384" s="61"/>
      <c r="R384" s="61"/>
      <c r="S384" s="62"/>
      <c r="T384" s="15"/>
      <c r="U384" s="14"/>
      <c r="V384" s="16"/>
      <c r="W384" s="8"/>
      <c r="X384" s="23">
        <f t="shared" si="6"/>
        <v>0</v>
      </c>
      <c r="Y384" s="8"/>
      <c r="Z384" s="8" t="str">
        <f>VLOOKUP(F384,RANGOFECHAFINAL,25,FALSE)</f>
        <v>#N/A</v>
      </c>
      <c r="AA384" s="8"/>
      <c r="AB384" s="8"/>
      <c r="AC384" s="8"/>
      <c r="AD384" s="7"/>
    </row>
    <row r="385">
      <c r="A385" s="7">
        <v>424.0</v>
      </c>
      <c r="B385" s="7"/>
      <c r="C385" s="7"/>
      <c r="D385" s="7"/>
      <c r="E385" s="8"/>
      <c r="G385" s="9"/>
      <c r="H385" s="60"/>
      <c r="I385" s="53"/>
      <c r="J385" s="63"/>
      <c r="K385" s="11"/>
      <c r="L385" s="10"/>
      <c r="M385" s="12"/>
      <c r="N385" s="10"/>
      <c r="O385" s="13"/>
      <c r="P385" s="54"/>
      <c r="Q385" s="61"/>
      <c r="R385" s="61"/>
      <c r="S385" s="62"/>
      <c r="T385" s="15"/>
      <c r="U385" s="14"/>
      <c r="V385" s="16"/>
      <c r="W385" s="8"/>
      <c r="X385" s="23">
        <f t="shared" si="6"/>
        <v>0</v>
      </c>
      <c r="Y385" s="8"/>
      <c r="Z385" s="8" t="str">
        <f>VLOOKUP(F385,RANGOFECHAFINAL,25,FALSE)</f>
        <v>#N/A</v>
      </c>
      <c r="AA385" s="8"/>
      <c r="AB385" s="8"/>
      <c r="AC385" s="8"/>
      <c r="AD385" s="7"/>
    </row>
    <row r="386">
      <c r="A386" s="7">
        <v>425.0</v>
      </c>
      <c r="B386" s="7"/>
      <c r="C386" s="7"/>
      <c r="D386" s="7"/>
      <c r="E386" s="8"/>
      <c r="G386" s="9"/>
      <c r="H386" s="60"/>
      <c r="I386" s="53"/>
      <c r="J386" s="63"/>
      <c r="K386" s="11"/>
      <c r="L386" s="10"/>
      <c r="M386" s="12"/>
      <c r="N386" s="10"/>
      <c r="O386" s="13"/>
      <c r="P386" s="54"/>
      <c r="Q386" s="61"/>
      <c r="R386" s="61"/>
      <c r="S386" s="62"/>
      <c r="T386" s="15"/>
      <c r="U386" s="14"/>
      <c r="V386" s="16"/>
      <c r="W386" s="8"/>
      <c r="X386" s="23">
        <f t="shared" si="6"/>
        <v>0</v>
      </c>
      <c r="Y386" s="8"/>
      <c r="Z386" s="8" t="str">
        <f>VLOOKUP(F386,RANGOFECHAFINAL,25,FALSE)</f>
        <v>#N/A</v>
      </c>
      <c r="AA386" s="8"/>
      <c r="AB386" s="8"/>
      <c r="AC386" s="8"/>
      <c r="AD386" s="7"/>
    </row>
    <row r="387">
      <c r="A387" s="7">
        <v>426.0</v>
      </c>
      <c r="B387" s="7"/>
      <c r="C387" s="7"/>
      <c r="D387" s="7"/>
      <c r="E387" s="8"/>
      <c r="G387" s="9"/>
      <c r="H387" s="60"/>
      <c r="I387" s="53"/>
      <c r="J387" s="63"/>
      <c r="K387" s="11"/>
      <c r="L387" s="10"/>
      <c r="M387" s="12"/>
      <c r="N387" s="10"/>
      <c r="O387" s="13"/>
      <c r="P387" s="54"/>
      <c r="Q387" s="61"/>
      <c r="R387" s="61"/>
      <c r="S387" s="62"/>
      <c r="T387" s="15"/>
      <c r="U387" s="14"/>
      <c r="V387" s="16"/>
      <c r="W387" s="8"/>
      <c r="X387" s="23">
        <f t="shared" si="6"/>
        <v>0</v>
      </c>
      <c r="Y387" s="8"/>
      <c r="Z387" s="8" t="str">
        <f>VLOOKUP(F387,RANGOFECHAFINAL,25,FALSE)</f>
        <v>#N/A</v>
      </c>
      <c r="AA387" s="8"/>
      <c r="AB387" s="8"/>
      <c r="AC387" s="8"/>
      <c r="AD387" s="7"/>
    </row>
    <row r="388">
      <c r="A388" s="7">
        <v>427.0</v>
      </c>
      <c r="B388" s="7"/>
      <c r="C388" s="7"/>
      <c r="D388" s="7"/>
      <c r="E388" s="8"/>
      <c r="G388" s="9"/>
      <c r="H388" s="60"/>
      <c r="I388" s="53"/>
      <c r="J388" s="63"/>
      <c r="K388" s="11"/>
      <c r="L388" s="10"/>
      <c r="M388" s="12"/>
      <c r="N388" s="10"/>
      <c r="O388" s="13"/>
      <c r="P388" s="54"/>
      <c r="Q388" s="61"/>
      <c r="R388" s="61"/>
      <c r="S388" s="62"/>
      <c r="T388" s="15"/>
      <c r="U388" s="14"/>
      <c r="V388" s="16"/>
      <c r="W388" s="8"/>
      <c r="X388" s="23">
        <f t="shared" si="6"/>
        <v>0</v>
      </c>
      <c r="Y388" s="8"/>
      <c r="Z388" s="8" t="str">
        <f>VLOOKUP(F388,RANGOFECHAFINAL,25,FALSE)</f>
        <v>#N/A</v>
      </c>
      <c r="AA388" s="8"/>
      <c r="AB388" s="8"/>
      <c r="AC388" s="8"/>
      <c r="AD388" s="7"/>
    </row>
    <row r="389">
      <c r="A389" s="7">
        <v>428.0</v>
      </c>
      <c r="B389" s="7"/>
      <c r="C389" s="7"/>
      <c r="D389" s="7"/>
      <c r="E389" s="8"/>
      <c r="G389" s="9"/>
      <c r="H389" s="60"/>
      <c r="I389" s="53"/>
      <c r="J389" s="63"/>
      <c r="K389" s="11"/>
      <c r="L389" s="10"/>
      <c r="M389" s="12"/>
      <c r="N389" s="10"/>
      <c r="O389" s="13"/>
      <c r="P389" s="54"/>
      <c r="Q389" s="61"/>
      <c r="R389" s="61"/>
      <c r="S389" s="62"/>
      <c r="T389" s="15"/>
      <c r="U389" s="14"/>
      <c r="V389" s="16"/>
      <c r="W389" s="8"/>
      <c r="X389" s="23">
        <f t="shared" si="6"/>
        <v>0</v>
      </c>
      <c r="Y389" s="8"/>
      <c r="Z389" s="8" t="str">
        <f>VLOOKUP(F389,RANGOFECHAFINAL,25,FALSE)</f>
        <v>#N/A</v>
      </c>
      <c r="AA389" s="8"/>
      <c r="AB389" s="8"/>
      <c r="AC389" s="8"/>
      <c r="AD389" s="7"/>
    </row>
    <row r="390">
      <c r="A390" s="7">
        <v>429.0</v>
      </c>
      <c r="B390" s="7"/>
      <c r="C390" s="7"/>
      <c r="D390" s="7"/>
      <c r="E390" s="8"/>
      <c r="G390" s="9"/>
      <c r="H390" s="60"/>
      <c r="I390" s="53"/>
      <c r="J390" s="63"/>
      <c r="K390" s="11"/>
      <c r="L390" s="10"/>
      <c r="M390" s="12"/>
      <c r="N390" s="10"/>
      <c r="O390" s="13"/>
      <c r="P390" s="54"/>
      <c r="Q390" s="61"/>
      <c r="R390" s="61"/>
      <c r="S390" s="62"/>
      <c r="T390" s="15"/>
      <c r="U390" s="14"/>
      <c r="V390" s="16"/>
      <c r="W390" s="8"/>
      <c r="X390" s="23">
        <f t="shared" si="6"/>
        <v>0</v>
      </c>
      <c r="Y390" s="8"/>
      <c r="Z390" s="8" t="str">
        <f>VLOOKUP(F390,RANGOFECHAFINAL,25,FALSE)</f>
        <v>#N/A</v>
      </c>
      <c r="AA390" s="8"/>
      <c r="AB390" s="8"/>
      <c r="AC390" s="8"/>
      <c r="AD390" s="7"/>
    </row>
    <row r="391">
      <c r="A391" s="7">
        <v>430.0</v>
      </c>
      <c r="B391" s="7"/>
      <c r="C391" s="7"/>
      <c r="D391" s="7"/>
      <c r="E391" s="8"/>
      <c r="G391" s="9"/>
      <c r="H391" s="60"/>
      <c r="I391" s="53"/>
      <c r="J391" s="63"/>
      <c r="K391" s="11"/>
      <c r="L391" s="10"/>
      <c r="M391" s="12"/>
      <c r="N391" s="10"/>
      <c r="O391" s="13"/>
      <c r="P391" s="54"/>
      <c r="Q391" s="61"/>
      <c r="R391" s="61"/>
      <c r="S391" s="62"/>
      <c r="T391" s="15"/>
      <c r="U391" s="14"/>
      <c r="V391" s="16"/>
      <c r="W391" s="8"/>
      <c r="X391" s="23">
        <f t="shared" si="6"/>
        <v>0</v>
      </c>
      <c r="Y391" s="8"/>
      <c r="Z391" s="8" t="str">
        <f>VLOOKUP(F391,RANGOFECHAFINAL,25,FALSE)</f>
        <v>#N/A</v>
      </c>
      <c r="AA391" s="8"/>
      <c r="AB391" s="8"/>
      <c r="AC391" s="8"/>
      <c r="AD391" s="7"/>
    </row>
    <row r="392">
      <c r="A392" s="7">
        <v>431.0</v>
      </c>
      <c r="B392" s="7"/>
      <c r="C392" s="7"/>
      <c r="D392" s="7"/>
      <c r="E392" s="8"/>
      <c r="G392" s="9"/>
      <c r="H392" s="60"/>
      <c r="I392" s="53"/>
      <c r="J392" s="63"/>
      <c r="K392" s="11"/>
      <c r="L392" s="10"/>
      <c r="M392" s="12"/>
      <c r="N392" s="10"/>
      <c r="O392" s="13"/>
      <c r="P392" s="54"/>
      <c r="Q392" s="61"/>
      <c r="R392" s="61"/>
      <c r="S392" s="62"/>
      <c r="T392" s="15"/>
      <c r="U392" s="14"/>
      <c r="V392" s="16"/>
      <c r="W392" s="8"/>
      <c r="X392" s="23">
        <f t="shared" si="6"/>
        <v>0</v>
      </c>
      <c r="Y392" s="8"/>
      <c r="Z392" s="8" t="str">
        <f>VLOOKUP(F392,RANGOFECHAFINAL,25,FALSE)</f>
        <v>#N/A</v>
      </c>
      <c r="AA392" s="8"/>
      <c r="AB392" s="8"/>
      <c r="AC392" s="8"/>
      <c r="AD392" s="7"/>
    </row>
    <row r="393">
      <c r="A393" s="7">
        <v>432.0</v>
      </c>
      <c r="B393" s="7"/>
      <c r="C393" s="7"/>
      <c r="D393" s="7"/>
      <c r="E393" s="8"/>
      <c r="G393" s="9"/>
      <c r="H393" s="60"/>
      <c r="I393" s="53"/>
      <c r="J393" s="63"/>
      <c r="K393" s="11"/>
      <c r="L393" s="10"/>
      <c r="M393" s="12"/>
      <c r="N393" s="10"/>
      <c r="O393" s="13"/>
      <c r="P393" s="54"/>
      <c r="Q393" s="61"/>
      <c r="R393" s="61"/>
      <c r="S393" s="62"/>
      <c r="T393" s="15"/>
      <c r="U393" s="14"/>
      <c r="V393" s="16"/>
      <c r="W393" s="8"/>
      <c r="X393" s="23">
        <f t="shared" si="6"/>
        <v>0</v>
      </c>
      <c r="Y393" s="8"/>
      <c r="Z393" s="8" t="str">
        <f>VLOOKUP(F393,RANGOFECHAFINAL,25,FALSE)</f>
        <v>#N/A</v>
      </c>
      <c r="AA393" s="8"/>
      <c r="AB393" s="8"/>
      <c r="AC393" s="8"/>
      <c r="AD393" s="7"/>
    </row>
    <row r="394">
      <c r="A394" s="7">
        <v>433.0</v>
      </c>
      <c r="B394" s="7"/>
      <c r="C394" s="7"/>
      <c r="D394" s="7"/>
      <c r="E394" s="8"/>
      <c r="G394" s="9"/>
      <c r="H394" s="60"/>
      <c r="I394" s="53"/>
      <c r="J394" s="63"/>
      <c r="K394" s="11"/>
      <c r="L394" s="10"/>
      <c r="M394" s="12"/>
      <c r="N394" s="10"/>
      <c r="O394" s="13"/>
      <c r="P394" s="54"/>
      <c r="Q394" s="61"/>
      <c r="R394" s="61"/>
      <c r="S394" s="62"/>
      <c r="T394" s="15"/>
      <c r="U394" s="14"/>
      <c r="V394" s="16"/>
      <c r="W394" s="8"/>
      <c r="X394" s="23">
        <f t="shared" si="6"/>
        <v>0</v>
      </c>
      <c r="Y394" s="8"/>
      <c r="Z394" s="8" t="str">
        <f>VLOOKUP(F394,RANGOFECHAFINAL,25,FALSE)</f>
        <v>#N/A</v>
      </c>
      <c r="AA394" s="8"/>
      <c r="AB394" s="8"/>
      <c r="AC394" s="8"/>
      <c r="AD394" s="7"/>
    </row>
    <row r="395">
      <c r="A395" s="7">
        <v>434.0</v>
      </c>
      <c r="B395" s="7"/>
      <c r="C395" s="7"/>
      <c r="D395" s="7"/>
      <c r="E395" s="8"/>
      <c r="G395" s="9"/>
      <c r="H395" s="60"/>
      <c r="I395" s="53"/>
      <c r="J395" s="63"/>
      <c r="K395" s="11"/>
      <c r="L395" s="10"/>
      <c r="M395" s="12"/>
      <c r="N395" s="10"/>
      <c r="O395" s="13"/>
      <c r="P395" s="54"/>
      <c r="Q395" s="61"/>
      <c r="R395" s="61"/>
      <c r="S395" s="62"/>
      <c r="T395" s="15"/>
      <c r="U395" s="14"/>
      <c r="V395" s="16"/>
      <c r="W395" s="8"/>
      <c r="X395" s="23">
        <f t="shared" si="6"/>
        <v>0</v>
      </c>
      <c r="Y395" s="8"/>
      <c r="Z395" s="8" t="str">
        <f>VLOOKUP(F395,RANGOFECHAFINAL,25,FALSE)</f>
        <v>#N/A</v>
      </c>
      <c r="AA395" s="8"/>
      <c r="AB395" s="8"/>
      <c r="AC395" s="8"/>
      <c r="AD395" s="7"/>
    </row>
    <row r="396">
      <c r="A396" s="7">
        <v>435.0</v>
      </c>
      <c r="B396" s="7"/>
      <c r="C396" s="7"/>
      <c r="D396" s="7"/>
      <c r="E396" s="8"/>
      <c r="G396" s="9"/>
      <c r="H396" s="60"/>
      <c r="I396" s="53"/>
      <c r="J396" s="63"/>
      <c r="K396" s="11"/>
      <c r="L396" s="10"/>
      <c r="M396" s="12"/>
      <c r="N396" s="10"/>
      <c r="O396" s="13"/>
      <c r="P396" s="54"/>
      <c r="Q396" s="61"/>
      <c r="R396" s="61"/>
      <c r="S396" s="62"/>
      <c r="T396" s="15"/>
      <c r="U396" s="14"/>
      <c r="V396" s="16"/>
      <c r="W396" s="8"/>
      <c r="X396" s="23">
        <f t="shared" si="6"/>
        <v>0</v>
      </c>
      <c r="Y396" s="8"/>
      <c r="Z396" s="8" t="str">
        <f>VLOOKUP(F396,RANGOFECHAFINAL,25,FALSE)</f>
        <v>#N/A</v>
      </c>
      <c r="AA396" s="8"/>
      <c r="AB396" s="8"/>
      <c r="AC396" s="8"/>
      <c r="AD396" s="7"/>
    </row>
    <row r="397">
      <c r="A397" s="7">
        <v>436.0</v>
      </c>
      <c r="B397" s="7"/>
      <c r="C397" s="7"/>
      <c r="D397" s="7"/>
      <c r="E397" s="8"/>
      <c r="G397" s="9"/>
      <c r="H397" s="60"/>
      <c r="I397" s="53"/>
      <c r="J397" s="63"/>
      <c r="K397" s="11"/>
      <c r="L397" s="10"/>
      <c r="M397" s="12"/>
      <c r="N397" s="10"/>
      <c r="O397" s="13"/>
      <c r="P397" s="54"/>
      <c r="Q397" s="61"/>
      <c r="R397" s="61"/>
      <c r="S397" s="62"/>
      <c r="T397" s="15"/>
      <c r="U397" s="14"/>
      <c r="V397" s="16"/>
      <c r="W397" s="8"/>
      <c r="X397" s="23">
        <f t="shared" si="6"/>
        <v>0</v>
      </c>
      <c r="Y397" s="8"/>
      <c r="Z397" s="8" t="str">
        <f>VLOOKUP(F397,RANGOFECHAFINAL,25,FALSE)</f>
        <v>#N/A</v>
      </c>
      <c r="AA397" s="8"/>
      <c r="AB397" s="8"/>
      <c r="AC397" s="8"/>
      <c r="AD397" s="7"/>
    </row>
    <row r="398">
      <c r="A398" s="7">
        <v>437.0</v>
      </c>
      <c r="B398" s="7"/>
      <c r="C398" s="7"/>
      <c r="D398" s="7"/>
      <c r="E398" s="8"/>
      <c r="G398" s="9"/>
      <c r="H398" s="60"/>
      <c r="I398" s="53"/>
      <c r="J398" s="63"/>
      <c r="K398" s="11"/>
      <c r="L398" s="10"/>
      <c r="M398" s="12"/>
      <c r="N398" s="10"/>
      <c r="O398" s="13"/>
      <c r="P398" s="54"/>
      <c r="Q398" s="61"/>
      <c r="R398" s="61"/>
      <c r="S398" s="62"/>
      <c r="T398" s="15"/>
      <c r="U398" s="14"/>
      <c r="V398" s="16"/>
      <c r="W398" s="8"/>
      <c r="X398" s="23">
        <f t="shared" si="6"/>
        <v>0</v>
      </c>
      <c r="Y398" s="8"/>
      <c r="Z398" s="8" t="str">
        <f>VLOOKUP(F398,RANGOFECHAFINAL,25,FALSE)</f>
        <v>#N/A</v>
      </c>
      <c r="AA398" s="8"/>
      <c r="AB398" s="8"/>
      <c r="AC398" s="8"/>
      <c r="AD398" s="7"/>
    </row>
    <row r="399">
      <c r="A399" s="7">
        <v>438.0</v>
      </c>
      <c r="B399" s="7"/>
      <c r="C399" s="7"/>
      <c r="D399" s="7"/>
      <c r="E399" s="8"/>
      <c r="G399" s="9"/>
      <c r="H399" s="60"/>
      <c r="I399" s="53"/>
      <c r="J399" s="63"/>
      <c r="K399" s="11"/>
      <c r="L399" s="10"/>
      <c r="M399" s="12"/>
      <c r="N399" s="10"/>
      <c r="O399" s="13"/>
      <c r="P399" s="54"/>
      <c r="Q399" s="61"/>
      <c r="R399" s="61"/>
      <c r="S399" s="62"/>
      <c r="T399" s="15"/>
      <c r="U399" s="14"/>
      <c r="V399" s="16"/>
      <c r="W399" s="8"/>
      <c r="X399" s="23">
        <f t="shared" si="6"/>
        <v>0</v>
      </c>
      <c r="Y399" s="8"/>
      <c r="Z399" s="8" t="str">
        <f>VLOOKUP(F399,RANGOFECHAFINAL,25,FALSE)</f>
        <v>#N/A</v>
      </c>
      <c r="AA399" s="8"/>
      <c r="AB399" s="8"/>
      <c r="AC399" s="8"/>
      <c r="AD399" s="7"/>
    </row>
    <row r="400">
      <c r="A400" s="7">
        <v>439.0</v>
      </c>
      <c r="B400" s="7"/>
      <c r="C400" s="7"/>
      <c r="D400" s="7"/>
      <c r="E400" s="8"/>
      <c r="G400" s="9"/>
      <c r="H400" s="60"/>
      <c r="I400" s="53"/>
      <c r="J400" s="63"/>
      <c r="K400" s="11"/>
      <c r="L400" s="10"/>
      <c r="M400" s="12"/>
      <c r="N400" s="10"/>
      <c r="O400" s="13"/>
      <c r="P400" s="54"/>
      <c r="Q400" s="61"/>
      <c r="R400" s="61"/>
      <c r="S400" s="62"/>
      <c r="T400" s="15"/>
      <c r="U400" s="14"/>
      <c r="V400" s="16"/>
      <c r="W400" s="8"/>
      <c r="X400" s="23">
        <f t="shared" si="6"/>
        <v>0</v>
      </c>
      <c r="Y400" s="8"/>
      <c r="Z400" s="8" t="str">
        <f>VLOOKUP(F400,RANGOFECHAFINAL,25,FALSE)</f>
        <v>#N/A</v>
      </c>
      <c r="AA400" s="8"/>
      <c r="AB400" s="8"/>
      <c r="AC400" s="8"/>
      <c r="AD400" s="7"/>
    </row>
    <row r="401">
      <c r="A401" s="7">
        <v>440.0</v>
      </c>
      <c r="B401" s="7"/>
      <c r="C401" s="7"/>
      <c r="D401" s="7"/>
      <c r="E401" s="8"/>
      <c r="G401" s="9"/>
      <c r="H401" s="60"/>
      <c r="I401" s="53"/>
      <c r="J401" s="63"/>
      <c r="K401" s="11"/>
      <c r="L401" s="10"/>
      <c r="M401" s="12"/>
      <c r="N401" s="10"/>
      <c r="O401" s="13"/>
      <c r="P401" s="54"/>
      <c r="Q401" s="61"/>
      <c r="R401" s="61"/>
      <c r="S401" s="62"/>
      <c r="T401" s="15"/>
      <c r="U401" s="14"/>
      <c r="V401" s="16"/>
      <c r="W401" s="8"/>
      <c r="X401" s="23">
        <f t="shared" si="6"/>
        <v>0</v>
      </c>
      <c r="Y401" s="8"/>
      <c r="Z401" s="8" t="str">
        <f>VLOOKUP(F401,RANGOFECHAFINAL,25,FALSE)</f>
        <v>#N/A</v>
      </c>
      <c r="AA401" s="8"/>
      <c r="AB401" s="8"/>
      <c r="AC401" s="8"/>
      <c r="AD401" s="7"/>
    </row>
    <row r="402">
      <c r="A402" s="7">
        <v>441.0</v>
      </c>
      <c r="B402" s="7"/>
      <c r="C402" s="7"/>
      <c r="D402" s="7"/>
      <c r="E402" s="8"/>
      <c r="G402" s="9"/>
      <c r="H402" s="60"/>
      <c r="I402" s="53"/>
      <c r="J402" s="63"/>
      <c r="K402" s="11"/>
      <c r="L402" s="10"/>
      <c r="M402" s="12"/>
      <c r="N402" s="10"/>
      <c r="O402" s="13"/>
      <c r="P402" s="54"/>
      <c r="Q402" s="61"/>
      <c r="R402" s="61"/>
      <c r="S402" s="62"/>
      <c r="T402" s="15"/>
      <c r="U402" s="14"/>
      <c r="V402" s="16"/>
      <c r="W402" s="8"/>
      <c r="X402" s="23">
        <f t="shared" si="6"/>
        <v>0</v>
      </c>
      <c r="Y402" s="8"/>
      <c r="Z402" s="8" t="str">
        <f>VLOOKUP(F402,RANGOFECHAFINAL,25,FALSE)</f>
        <v>#N/A</v>
      </c>
      <c r="AA402" s="8"/>
      <c r="AB402" s="8"/>
      <c r="AC402" s="8"/>
      <c r="AD402" s="7"/>
    </row>
    <row r="403">
      <c r="A403" s="7">
        <v>442.0</v>
      </c>
      <c r="B403" s="7"/>
      <c r="C403" s="7"/>
      <c r="D403" s="7"/>
      <c r="E403" s="8"/>
      <c r="G403" s="9"/>
      <c r="H403" s="60"/>
      <c r="I403" s="53"/>
      <c r="J403" s="63"/>
      <c r="K403" s="11"/>
      <c r="L403" s="10"/>
      <c r="M403" s="12"/>
      <c r="N403" s="10"/>
      <c r="O403" s="13"/>
      <c r="P403" s="54"/>
      <c r="Q403" s="61"/>
      <c r="R403" s="61"/>
      <c r="S403" s="62"/>
      <c r="T403" s="15"/>
      <c r="U403" s="14"/>
      <c r="V403" s="16"/>
      <c r="W403" s="8"/>
      <c r="X403" s="23">
        <f t="shared" si="6"/>
        <v>0</v>
      </c>
      <c r="Y403" s="8"/>
      <c r="Z403" s="8" t="str">
        <f>VLOOKUP(F403,RANGOFECHAFINAL,25,FALSE)</f>
        <v>#N/A</v>
      </c>
      <c r="AA403" s="8"/>
      <c r="AB403" s="8"/>
      <c r="AC403" s="8"/>
      <c r="AD403" s="7"/>
    </row>
    <row r="404">
      <c r="A404" s="7">
        <v>443.0</v>
      </c>
      <c r="B404" s="7"/>
      <c r="C404" s="7"/>
      <c r="D404" s="7"/>
      <c r="E404" s="8"/>
      <c r="G404" s="9"/>
      <c r="H404" s="60"/>
      <c r="I404" s="53"/>
      <c r="J404" s="63"/>
      <c r="K404" s="11"/>
      <c r="L404" s="10"/>
      <c r="M404" s="12"/>
      <c r="N404" s="10"/>
      <c r="O404" s="13"/>
      <c r="P404" s="54"/>
      <c r="Q404" s="61"/>
      <c r="R404" s="61"/>
      <c r="S404" s="62"/>
      <c r="T404" s="15"/>
      <c r="U404" s="14"/>
      <c r="V404" s="16"/>
      <c r="W404" s="8"/>
      <c r="X404" s="23">
        <f t="shared" si="6"/>
        <v>0</v>
      </c>
      <c r="Y404" s="8"/>
      <c r="Z404" s="8" t="str">
        <f>VLOOKUP(F404,RANGOFECHAFINAL,25,FALSE)</f>
        <v>#N/A</v>
      </c>
      <c r="AA404" s="8"/>
      <c r="AB404" s="8"/>
      <c r="AC404" s="8"/>
      <c r="AD404" s="7"/>
    </row>
    <row r="405">
      <c r="A405" s="7">
        <v>444.0</v>
      </c>
      <c r="B405" s="7"/>
      <c r="C405" s="7"/>
      <c r="D405" s="7"/>
      <c r="E405" s="8"/>
      <c r="G405" s="9"/>
      <c r="H405" s="60"/>
      <c r="I405" s="53"/>
      <c r="J405" s="63"/>
      <c r="K405" s="11"/>
      <c r="L405" s="10"/>
      <c r="M405" s="12"/>
      <c r="N405" s="10"/>
      <c r="O405" s="13"/>
      <c r="P405" s="54"/>
      <c r="Q405" s="61"/>
      <c r="R405" s="61"/>
      <c r="S405" s="62"/>
      <c r="T405" s="15"/>
      <c r="U405" s="14"/>
      <c r="V405" s="16"/>
      <c r="W405" s="8"/>
      <c r="X405" s="23">
        <f t="shared" si="6"/>
        <v>0</v>
      </c>
      <c r="Y405" s="8"/>
      <c r="Z405" s="8" t="str">
        <f>VLOOKUP(F405,RANGOFECHAFINAL,25,FALSE)</f>
        <v>#N/A</v>
      </c>
      <c r="AA405" s="8"/>
      <c r="AB405" s="8"/>
      <c r="AC405" s="8"/>
      <c r="AD405" s="7"/>
    </row>
    <row r="406">
      <c r="A406" s="7">
        <v>445.0</v>
      </c>
      <c r="B406" s="7"/>
      <c r="C406" s="7"/>
      <c r="D406" s="7"/>
      <c r="E406" s="8"/>
      <c r="G406" s="9"/>
      <c r="H406" s="60"/>
      <c r="I406" s="53"/>
      <c r="J406" s="63"/>
      <c r="K406" s="11"/>
      <c r="L406" s="10"/>
      <c r="M406" s="12"/>
      <c r="N406" s="10"/>
      <c r="O406" s="13"/>
      <c r="P406" s="54"/>
      <c r="Q406" s="61"/>
      <c r="R406" s="61"/>
      <c r="S406" s="62"/>
      <c r="T406" s="15"/>
      <c r="U406" s="14"/>
      <c r="V406" s="16"/>
      <c r="W406" s="8"/>
      <c r="X406" s="23">
        <f t="shared" si="6"/>
        <v>0</v>
      </c>
      <c r="Y406" s="8"/>
      <c r="Z406" s="8" t="str">
        <f>VLOOKUP(F406,RANGOFECHAFINAL,25,FALSE)</f>
        <v>#N/A</v>
      </c>
      <c r="AA406" s="8"/>
      <c r="AB406" s="8"/>
      <c r="AC406" s="8"/>
      <c r="AD406" s="7"/>
    </row>
    <row r="407" ht="15.75" customHeight="1">
      <c r="A407" s="7">
        <v>446.0</v>
      </c>
      <c r="B407" s="64"/>
      <c r="C407" s="64"/>
      <c r="D407" s="64"/>
      <c r="E407" s="65"/>
      <c r="G407" s="66"/>
      <c r="H407" s="67"/>
      <c r="I407" s="64"/>
      <c r="J407" s="64"/>
      <c r="K407" s="64"/>
      <c r="L407" s="64"/>
      <c r="M407" s="64"/>
      <c r="N407" s="64"/>
      <c r="O407" s="64"/>
      <c r="P407" s="64"/>
      <c r="Q407" s="64"/>
      <c r="R407" s="64"/>
      <c r="S407" s="68"/>
      <c r="T407" s="64"/>
      <c r="U407" s="64"/>
      <c r="V407" s="64"/>
      <c r="W407" s="64"/>
      <c r="X407" s="8">
        <f t="shared" si="6"/>
        <v>0</v>
      </c>
      <c r="Y407" s="8"/>
      <c r="Z407" s="8" t="str">
        <f>VLOOKUP(F407,RANGOFECHAFINAL,25,FALSE)</f>
        <v>#N/A</v>
      </c>
      <c r="AA407" s="64"/>
      <c r="AB407" s="64"/>
      <c r="AC407" s="68"/>
      <c r="AD407" s="7"/>
    </row>
    <row r="408" ht="15.75" customHeight="1">
      <c r="A408" s="7">
        <v>447.0</v>
      </c>
      <c r="B408" s="64"/>
      <c r="C408" s="64"/>
      <c r="D408" s="64"/>
      <c r="E408" s="65"/>
      <c r="G408" s="66"/>
      <c r="H408" s="67"/>
      <c r="I408" s="64"/>
      <c r="J408" s="64"/>
      <c r="K408" s="64"/>
      <c r="L408" s="64"/>
      <c r="M408" s="64"/>
      <c r="N408" s="64"/>
      <c r="O408" s="64"/>
      <c r="P408" s="64"/>
      <c r="Q408" s="64"/>
      <c r="R408" s="64"/>
      <c r="S408" s="68"/>
      <c r="T408" s="64"/>
      <c r="U408" s="64"/>
      <c r="V408" s="64"/>
      <c r="W408" s="64"/>
      <c r="X408" s="8">
        <f t="shared" si="6"/>
        <v>0</v>
      </c>
      <c r="Y408" s="8"/>
      <c r="Z408" s="8" t="str">
        <f>VLOOKUP(F408,RANGOFECHAFINAL,25,FALSE)</f>
        <v>#N/A</v>
      </c>
      <c r="AA408" s="64"/>
      <c r="AB408" s="64"/>
      <c r="AC408" s="68"/>
      <c r="AD408" s="7"/>
    </row>
    <row r="409" ht="15.75" customHeight="1">
      <c r="A409" s="7">
        <v>448.0</v>
      </c>
      <c r="B409" s="64"/>
      <c r="C409" s="64"/>
      <c r="D409" s="64"/>
      <c r="E409" s="65"/>
      <c r="G409" s="66"/>
      <c r="H409" s="67"/>
      <c r="I409" s="64"/>
      <c r="J409" s="64"/>
      <c r="K409" s="64"/>
      <c r="L409" s="64"/>
      <c r="M409" s="64"/>
      <c r="N409" s="64"/>
      <c r="O409" s="64"/>
      <c r="P409" s="64"/>
      <c r="Q409" s="64"/>
      <c r="R409" s="64"/>
      <c r="S409" s="68"/>
      <c r="T409" s="64"/>
      <c r="U409" s="64"/>
      <c r="V409" s="64"/>
      <c r="W409" s="64"/>
      <c r="X409" s="8">
        <f t="shared" si="6"/>
        <v>0</v>
      </c>
      <c r="Y409" s="8"/>
      <c r="Z409" s="8" t="str">
        <f>VLOOKUP(F409,RANGOFECHAFINAL,25,FALSE)</f>
        <v>#N/A</v>
      </c>
      <c r="AA409" s="64"/>
      <c r="AB409" s="64"/>
      <c r="AC409" s="68"/>
      <c r="AD409" s="7"/>
    </row>
    <row r="410" ht="15.75" customHeight="1">
      <c r="A410" s="7">
        <v>449.0</v>
      </c>
      <c r="B410" s="64"/>
      <c r="C410" s="64"/>
      <c r="D410" s="64"/>
      <c r="E410" s="65"/>
      <c r="G410" s="66"/>
      <c r="H410" s="67"/>
      <c r="I410" s="64"/>
      <c r="J410" s="64"/>
      <c r="K410" s="64"/>
      <c r="L410" s="64"/>
      <c r="M410" s="64"/>
      <c r="N410" s="64"/>
      <c r="O410" s="64"/>
      <c r="P410" s="64"/>
      <c r="Q410" s="64"/>
      <c r="R410" s="64"/>
      <c r="S410" s="68"/>
      <c r="T410" s="64"/>
      <c r="U410" s="64"/>
      <c r="V410" s="64"/>
      <c r="W410" s="64"/>
      <c r="X410" s="8">
        <f t="shared" si="6"/>
        <v>0</v>
      </c>
      <c r="Y410" s="8"/>
      <c r="Z410" s="8" t="str">
        <f>VLOOKUP(F410,RANGOFECHAFINAL,25,FALSE)</f>
        <v>#N/A</v>
      </c>
      <c r="AA410" s="64"/>
      <c r="AB410" s="64"/>
      <c r="AC410" s="68"/>
      <c r="AD410" s="7"/>
    </row>
    <row r="411" ht="15.75" customHeight="1">
      <c r="A411" s="7">
        <v>450.0</v>
      </c>
      <c r="B411" s="64"/>
      <c r="C411" s="64"/>
      <c r="D411" s="64"/>
      <c r="E411" s="65"/>
      <c r="G411" s="66"/>
      <c r="H411" s="67"/>
      <c r="I411" s="64"/>
      <c r="J411" s="64"/>
      <c r="K411" s="64"/>
      <c r="L411" s="64"/>
      <c r="M411" s="64"/>
      <c r="N411" s="64"/>
      <c r="O411" s="64"/>
      <c r="P411" s="64"/>
      <c r="Q411" s="64"/>
      <c r="R411" s="64"/>
      <c r="S411" s="68"/>
      <c r="T411" s="64"/>
      <c r="U411" s="64"/>
      <c r="V411" s="64"/>
      <c r="W411" s="64"/>
      <c r="X411" s="8">
        <f t="shared" si="6"/>
        <v>0</v>
      </c>
      <c r="Y411" s="8"/>
      <c r="Z411" s="8" t="str">
        <f>VLOOKUP(F411,RANGOFECHAFINAL,25,FALSE)</f>
        <v>#N/A</v>
      </c>
      <c r="AA411" s="64"/>
      <c r="AB411" s="64"/>
      <c r="AC411" s="68"/>
      <c r="AD411" s="7"/>
    </row>
    <row r="412" ht="15.75" customHeight="1">
      <c r="A412" s="7">
        <v>451.0</v>
      </c>
      <c r="B412" s="64"/>
      <c r="C412" s="64"/>
      <c r="D412" s="64"/>
      <c r="E412" s="65"/>
      <c r="G412" s="66"/>
      <c r="H412" s="67"/>
      <c r="I412" s="64"/>
      <c r="J412" s="64"/>
      <c r="K412" s="64"/>
      <c r="L412" s="64"/>
      <c r="M412" s="64"/>
      <c r="N412" s="64"/>
      <c r="O412" s="64"/>
      <c r="P412" s="64"/>
      <c r="Q412" s="64"/>
      <c r="R412" s="64"/>
      <c r="S412" s="68"/>
      <c r="T412" s="64"/>
      <c r="U412" s="64"/>
      <c r="V412" s="64"/>
      <c r="W412" s="64"/>
      <c r="X412" s="8">
        <f t="shared" si="6"/>
        <v>0</v>
      </c>
      <c r="Y412" s="8"/>
      <c r="Z412" s="8" t="str">
        <f>VLOOKUP(F412,RANGOFECHAFINAL,25,FALSE)</f>
        <v>#N/A</v>
      </c>
      <c r="AA412" s="64"/>
      <c r="AB412" s="64"/>
      <c r="AC412" s="68"/>
      <c r="AD412" s="7"/>
    </row>
    <row r="413" ht="15.75" customHeight="1">
      <c r="A413" s="7">
        <v>452.0</v>
      </c>
      <c r="B413" s="64"/>
      <c r="C413" s="64"/>
      <c r="D413" s="64"/>
      <c r="E413" s="65"/>
      <c r="G413" s="66"/>
      <c r="H413" s="67"/>
      <c r="I413" s="64"/>
      <c r="J413" s="64"/>
      <c r="K413" s="64"/>
      <c r="L413" s="64"/>
      <c r="M413" s="64"/>
      <c r="N413" s="64"/>
      <c r="O413" s="64"/>
      <c r="P413" s="64"/>
      <c r="Q413" s="64"/>
      <c r="R413" s="64"/>
      <c r="S413" s="68"/>
      <c r="T413" s="64"/>
      <c r="U413" s="64"/>
      <c r="V413" s="64"/>
      <c r="W413" s="64"/>
      <c r="X413" s="8">
        <f t="shared" si="6"/>
        <v>0</v>
      </c>
      <c r="Y413" s="8"/>
      <c r="Z413" s="8" t="str">
        <f>VLOOKUP(F413,RANGOFECHAFINAL,25,FALSE)</f>
        <v>#N/A</v>
      </c>
      <c r="AA413" s="64"/>
      <c r="AB413" s="64"/>
      <c r="AC413" s="68"/>
      <c r="AD413" s="7"/>
    </row>
    <row r="414" ht="15.75" customHeight="1">
      <c r="A414" s="7">
        <v>453.0</v>
      </c>
      <c r="B414" s="64"/>
      <c r="C414" s="64"/>
      <c r="D414" s="64"/>
      <c r="E414" s="65"/>
      <c r="G414" s="66"/>
      <c r="H414" s="67"/>
      <c r="I414" s="64"/>
      <c r="J414" s="64"/>
      <c r="K414" s="64"/>
      <c r="L414" s="64"/>
      <c r="M414" s="64"/>
      <c r="N414" s="64"/>
      <c r="O414" s="64"/>
      <c r="P414" s="64"/>
      <c r="Q414" s="64"/>
      <c r="R414" s="64"/>
      <c r="S414" s="68"/>
      <c r="T414" s="64"/>
      <c r="U414" s="64"/>
      <c r="V414" s="64"/>
      <c r="W414" s="64"/>
      <c r="X414" s="8">
        <f t="shared" si="6"/>
        <v>0</v>
      </c>
      <c r="Y414" s="8"/>
      <c r="Z414" s="8" t="str">
        <f>VLOOKUP(F414,RANGOFECHAFINAL,25,FALSE)</f>
        <v>#N/A</v>
      </c>
      <c r="AA414" s="64"/>
      <c r="AB414" s="64"/>
      <c r="AC414" s="68"/>
      <c r="AD414" s="7"/>
    </row>
    <row r="415" ht="15.75" customHeight="1">
      <c r="A415" s="64"/>
      <c r="B415" s="64"/>
      <c r="C415" s="64"/>
      <c r="D415" s="64"/>
      <c r="E415" s="65"/>
      <c r="G415" s="66"/>
      <c r="H415" s="67"/>
      <c r="I415" s="64"/>
      <c r="J415" s="64"/>
      <c r="K415" s="64"/>
      <c r="L415" s="64"/>
      <c r="M415" s="64"/>
      <c r="N415" s="64"/>
      <c r="O415" s="64"/>
      <c r="P415" s="64"/>
      <c r="Q415" s="64"/>
      <c r="R415" s="64"/>
      <c r="S415" s="68"/>
      <c r="T415" s="64"/>
      <c r="U415" s="64"/>
      <c r="V415" s="64"/>
      <c r="W415" s="64"/>
      <c r="X415" s="64"/>
      <c r="Y415" s="64"/>
      <c r="Z415" s="64"/>
      <c r="AA415" s="64"/>
      <c r="AB415" s="64"/>
      <c r="AC415" s="68"/>
      <c r="AD415" s="64"/>
    </row>
    <row r="416" ht="15.75" customHeight="1">
      <c r="A416" s="64"/>
      <c r="B416" s="64"/>
      <c r="C416" s="64"/>
      <c r="D416" s="64"/>
      <c r="E416" s="65"/>
      <c r="G416" s="66"/>
      <c r="H416" s="67"/>
      <c r="I416" s="64"/>
      <c r="J416" s="64"/>
      <c r="K416" s="64"/>
      <c r="L416" s="64"/>
      <c r="M416" s="64"/>
      <c r="N416" s="64"/>
      <c r="O416" s="64"/>
      <c r="P416" s="64"/>
      <c r="Q416" s="64"/>
      <c r="R416" s="64"/>
      <c r="S416" s="68"/>
      <c r="T416" s="64"/>
      <c r="U416" s="64"/>
      <c r="V416" s="64"/>
      <c r="W416" s="64"/>
      <c r="X416" s="64"/>
      <c r="Y416" s="64"/>
      <c r="Z416" s="64"/>
      <c r="AA416" s="64"/>
      <c r="AB416" s="64"/>
      <c r="AC416" s="68"/>
      <c r="AD416" s="64"/>
    </row>
    <row r="417" ht="15.75" customHeight="1">
      <c r="A417" s="64"/>
      <c r="B417" s="64"/>
      <c r="C417" s="64"/>
      <c r="D417" s="64"/>
      <c r="E417" s="65"/>
      <c r="G417" s="66"/>
      <c r="H417" s="67"/>
      <c r="I417" s="64"/>
      <c r="J417" s="64"/>
      <c r="K417" s="64"/>
      <c r="L417" s="64"/>
      <c r="M417" s="64"/>
      <c r="N417" s="64"/>
      <c r="O417" s="64"/>
      <c r="P417" s="64"/>
      <c r="Q417" s="64"/>
      <c r="R417" s="64"/>
      <c r="S417" s="68"/>
      <c r="T417" s="64"/>
      <c r="U417" s="64"/>
      <c r="V417" s="64"/>
      <c r="W417" s="64"/>
      <c r="X417" s="64"/>
      <c r="Y417" s="64"/>
      <c r="Z417" s="64"/>
      <c r="AA417" s="64"/>
      <c r="AB417" s="64"/>
      <c r="AC417" s="68"/>
      <c r="AD417" s="64"/>
    </row>
    <row r="418" ht="15.75" customHeight="1">
      <c r="A418" s="64"/>
      <c r="B418" s="64"/>
      <c r="C418" s="64"/>
      <c r="D418" s="64"/>
      <c r="E418" s="65"/>
      <c r="G418" s="66"/>
      <c r="H418" s="67"/>
      <c r="I418" s="64"/>
      <c r="J418" s="64"/>
      <c r="K418" s="64"/>
      <c r="L418" s="64"/>
      <c r="M418" s="64"/>
      <c r="N418" s="64"/>
      <c r="O418" s="64"/>
      <c r="P418" s="64"/>
      <c r="Q418" s="64"/>
      <c r="R418" s="64"/>
      <c r="S418" s="68"/>
      <c r="T418" s="64"/>
      <c r="U418" s="64"/>
      <c r="V418" s="64"/>
      <c r="W418" s="64"/>
      <c r="X418" s="64"/>
      <c r="Y418" s="64"/>
      <c r="Z418" s="64"/>
      <c r="AA418" s="64"/>
      <c r="AB418" s="64"/>
      <c r="AC418" s="68"/>
      <c r="AD418" s="64"/>
    </row>
    <row r="419" ht="15.75" customHeight="1">
      <c r="A419" s="64"/>
      <c r="B419" s="64"/>
      <c r="C419" s="64"/>
      <c r="D419" s="64"/>
      <c r="E419" s="65"/>
      <c r="G419" s="66"/>
      <c r="H419" s="67"/>
      <c r="I419" s="64"/>
      <c r="J419" s="64"/>
      <c r="K419" s="64"/>
      <c r="L419" s="64"/>
      <c r="M419" s="64"/>
      <c r="N419" s="64"/>
      <c r="O419" s="64"/>
      <c r="P419" s="64"/>
      <c r="Q419" s="64"/>
      <c r="R419" s="64"/>
      <c r="S419" s="68"/>
      <c r="T419" s="64"/>
      <c r="U419" s="64"/>
      <c r="V419" s="64"/>
      <c r="W419" s="64"/>
      <c r="X419" s="64"/>
      <c r="Y419" s="64"/>
      <c r="Z419" s="64"/>
      <c r="AA419" s="64"/>
      <c r="AB419" s="64"/>
      <c r="AC419" s="68"/>
      <c r="AD419" s="64"/>
    </row>
    <row r="420" ht="15.75" customHeight="1">
      <c r="A420" s="64"/>
      <c r="B420" s="64"/>
      <c r="C420" s="64"/>
      <c r="D420" s="64"/>
      <c r="E420" s="65"/>
      <c r="G420" s="66"/>
      <c r="H420" s="67"/>
      <c r="I420" s="64"/>
      <c r="J420" s="64"/>
      <c r="K420" s="64"/>
      <c r="L420" s="64"/>
      <c r="M420" s="64"/>
      <c r="N420" s="64"/>
      <c r="O420" s="64"/>
      <c r="P420" s="64"/>
      <c r="Q420" s="64"/>
      <c r="R420" s="64"/>
      <c r="S420" s="68"/>
      <c r="T420" s="64"/>
      <c r="U420" s="64"/>
      <c r="V420" s="64"/>
      <c r="W420" s="64"/>
      <c r="X420" s="64"/>
      <c r="Y420" s="64"/>
      <c r="Z420" s="64"/>
      <c r="AA420" s="64"/>
      <c r="AB420" s="64"/>
      <c r="AC420" s="68"/>
      <c r="AD420" s="64"/>
    </row>
    <row r="421" ht="15.75" customHeight="1">
      <c r="A421" s="64"/>
      <c r="B421" s="64"/>
      <c r="C421" s="64"/>
      <c r="D421" s="64"/>
      <c r="E421" s="65"/>
      <c r="G421" s="66"/>
      <c r="H421" s="67"/>
      <c r="I421" s="64"/>
      <c r="J421" s="64"/>
      <c r="K421" s="64"/>
      <c r="L421" s="64"/>
      <c r="M421" s="64"/>
      <c r="N421" s="64"/>
      <c r="O421" s="64"/>
      <c r="P421" s="64"/>
      <c r="Q421" s="64"/>
      <c r="R421" s="64"/>
      <c r="S421" s="68"/>
      <c r="T421" s="64"/>
      <c r="U421" s="64"/>
      <c r="V421" s="64"/>
      <c r="W421" s="64"/>
      <c r="X421" s="64"/>
      <c r="Y421" s="64"/>
      <c r="Z421" s="64"/>
      <c r="AA421" s="64"/>
      <c r="AB421" s="64"/>
      <c r="AC421" s="68"/>
      <c r="AD421" s="64"/>
    </row>
    <row r="422" ht="15.75" customHeight="1">
      <c r="A422" s="64"/>
      <c r="B422" s="64"/>
      <c r="C422" s="64"/>
      <c r="D422" s="64"/>
      <c r="E422" s="65"/>
      <c r="G422" s="66"/>
      <c r="H422" s="67"/>
      <c r="I422" s="64"/>
      <c r="J422" s="64"/>
      <c r="K422" s="64"/>
      <c r="L422" s="64"/>
      <c r="M422" s="64"/>
      <c r="N422" s="64"/>
      <c r="O422" s="64"/>
      <c r="P422" s="64"/>
      <c r="Q422" s="64"/>
      <c r="R422" s="64"/>
      <c r="S422" s="68"/>
      <c r="T422" s="64"/>
      <c r="U422" s="64"/>
      <c r="V422" s="64"/>
      <c r="W422" s="64"/>
      <c r="X422" s="64"/>
      <c r="Y422" s="64"/>
      <c r="Z422" s="64"/>
      <c r="AA422" s="64"/>
      <c r="AB422" s="64"/>
      <c r="AC422" s="68"/>
      <c r="AD422" s="64"/>
    </row>
    <row r="423" ht="15.75" customHeight="1">
      <c r="A423" s="64"/>
      <c r="B423" s="64"/>
      <c r="C423" s="64"/>
      <c r="D423" s="64"/>
      <c r="E423" s="65"/>
      <c r="G423" s="66"/>
      <c r="H423" s="67"/>
      <c r="I423" s="64"/>
      <c r="J423" s="64"/>
      <c r="K423" s="64"/>
      <c r="L423" s="64"/>
      <c r="M423" s="64"/>
      <c r="N423" s="64"/>
      <c r="O423" s="64"/>
      <c r="P423" s="64"/>
      <c r="Q423" s="64"/>
      <c r="R423" s="64"/>
      <c r="S423" s="68"/>
      <c r="T423" s="64"/>
      <c r="U423" s="64"/>
      <c r="V423" s="64"/>
      <c r="W423" s="64"/>
      <c r="X423" s="64"/>
      <c r="Y423" s="64"/>
      <c r="Z423" s="64"/>
      <c r="AA423" s="64"/>
      <c r="AB423" s="64"/>
      <c r="AC423" s="68"/>
      <c r="AD423" s="64"/>
    </row>
    <row r="424" ht="15.75" customHeight="1">
      <c r="A424" s="64"/>
      <c r="B424" s="64"/>
      <c r="C424" s="64"/>
      <c r="D424" s="64"/>
      <c r="E424" s="65"/>
      <c r="G424" s="66"/>
      <c r="H424" s="67"/>
      <c r="I424" s="64"/>
      <c r="J424" s="64"/>
      <c r="K424" s="64"/>
      <c r="L424" s="64"/>
      <c r="M424" s="64"/>
      <c r="N424" s="64"/>
      <c r="O424" s="64"/>
      <c r="P424" s="64"/>
      <c r="Q424" s="64"/>
      <c r="R424" s="64"/>
      <c r="S424" s="68"/>
      <c r="T424" s="64"/>
      <c r="U424" s="64"/>
      <c r="V424" s="64"/>
      <c r="W424" s="64"/>
      <c r="X424" s="64"/>
      <c r="Y424" s="64"/>
      <c r="Z424" s="64"/>
      <c r="AA424" s="64"/>
      <c r="AB424" s="64"/>
      <c r="AC424" s="68"/>
      <c r="AD424" s="64"/>
    </row>
    <row r="425" ht="15.75" customHeight="1">
      <c r="A425" s="64"/>
      <c r="B425" s="64"/>
      <c r="C425" s="64"/>
      <c r="D425" s="64"/>
      <c r="E425" s="65"/>
      <c r="G425" s="66"/>
      <c r="H425" s="67"/>
      <c r="I425" s="64"/>
      <c r="J425" s="64"/>
      <c r="K425" s="64"/>
      <c r="L425" s="64"/>
      <c r="M425" s="64"/>
      <c r="N425" s="64"/>
      <c r="O425" s="64"/>
      <c r="P425" s="64"/>
      <c r="Q425" s="64"/>
      <c r="R425" s="64"/>
      <c r="S425" s="68"/>
      <c r="T425" s="64"/>
      <c r="U425" s="64"/>
      <c r="V425" s="64"/>
      <c r="W425" s="64"/>
      <c r="X425" s="64"/>
      <c r="Y425" s="64"/>
      <c r="Z425" s="64"/>
      <c r="AA425" s="64"/>
      <c r="AB425" s="64"/>
      <c r="AC425" s="68"/>
      <c r="AD425" s="64"/>
    </row>
    <row r="426" ht="15.75" customHeight="1">
      <c r="A426" s="64"/>
      <c r="B426" s="64"/>
      <c r="C426" s="64"/>
      <c r="D426" s="64"/>
      <c r="E426" s="65"/>
      <c r="G426" s="66"/>
      <c r="H426" s="67"/>
      <c r="I426" s="64"/>
      <c r="J426" s="64"/>
      <c r="K426" s="64"/>
      <c r="L426" s="64"/>
      <c r="M426" s="64"/>
      <c r="N426" s="64"/>
      <c r="O426" s="64"/>
      <c r="P426" s="64"/>
      <c r="Q426" s="64"/>
      <c r="R426" s="64"/>
      <c r="S426" s="68"/>
      <c r="T426" s="64"/>
      <c r="U426" s="64"/>
      <c r="V426" s="64"/>
      <c r="W426" s="64"/>
      <c r="X426" s="64"/>
      <c r="Y426" s="64"/>
      <c r="Z426" s="64"/>
      <c r="AA426" s="64"/>
      <c r="AB426" s="64"/>
      <c r="AC426" s="68"/>
      <c r="AD426" s="64"/>
    </row>
    <row r="427" ht="15.75" customHeight="1">
      <c r="A427" s="64"/>
      <c r="B427" s="64"/>
      <c r="C427" s="64"/>
      <c r="D427" s="64"/>
      <c r="E427" s="65"/>
      <c r="G427" s="66"/>
      <c r="H427" s="67"/>
      <c r="I427" s="64"/>
      <c r="J427" s="64"/>
      <c r="K427" s="64"/>
      <c r="L427" s="64"/>
      <c r="M427" s="64"/>
      <c r="N427" s="64"/>
      <c r="O427" s="64"/>
      <c r="P427" s="64"/>
      <c r="Q427" s="64"/>
      <c r="R427" s="64"/>
      <c r="S427" s="68"/>
      <c r="T427" s="64"/>
      <c r="U427" s="64"/>
      <c r="V427" s="64"/>
      <c r="W427" s="64"/>
      <c r="X427" s="64"/>
      <c r="Y427" s="64"/>
      <c r="Z427" s="64"/>
      <c r="AA427" s="64"/>
      <c r="AB427" s="64"/>
      <c r="AC427" s="68"/>
      <c r="AD427" s="64"/>
    </row>
    <row r="428" ht="15.75" customHeight="1">
      <c r="A428" s="64"/>
      <c r="B428" s="64"/>
      <c r="C428" s="64"/>
      <c r="D428" s="64"/>
      <c r="E428" s="65"/>
      <c r="G428" s="66"/>
      <c r="H428" s="67"/>
      <c r="I428" s="64"/>
      <c r="J428" s="64"/>
      <c r="K428" s="64"/>
      <c r="L428" s="64"/>
      <c r="M428" s="64"/>
      <c r="N428" s="64"/>
      <c r="O428" s="64"/>
      <c r="P428" s="64"/>
      <c r="Q428" s="64"/>
      <c r="R428" s="64"/>
      <c r="S428" s="68"/>
      <c r="T428" s="64"/>
      <c r="U428" s="64"/>
      <c r="V428" s="64"/>
      <c r="W428" s="64"/>
      <c r="X428" s="64"/>
      <c r="Y428" s="64"/>
      <c r="Z428" s="64"/>
      <c r="AA428" s="64"/>
      <c r="AB428" s="64"/>
      <c r="AC428" s="68"/>
      <c r="AD428" s="64"/>
    </row>
    <row r="429" ht="15.75" customHeight="1">
      <c r="A429" s="64"/>
      <c r="B429" s="64"/>
      <c r="C429" s="64"/>
      <c r="D429" s="64"/>
      <c r="E429" s="65"/>
      <c r="G429" s="66"/>
      <c r="H429" s="67"/>
      <c r="I429" s="64"/>
      <c r="J429" s="64"/>
      <c r="K429" s="64"/>
      <c r="L429" s="64"/>
      <c r="M429" s="64"/>
      <c r="N429" s="64"/>
      <c r="O429" s="64"/>
      <c r="P429" s="64"/>
      <c r="Q429" s="64"/>
      <c r="R429" s="64"/>
      <c r="S429" s="68"/>
      <c r="T429" s="64"/>
      <c r="U429" s="64"/>
      <c r="V429" s="64"/>
      <c r="W429" s="64"/>
      <c r="X429" s="64"/>
      <c r="Y429" s="64"/>
      <c r="Z429" s="64"/>
      <c r="AA429" s="64"/>
      <c r="AB429" s="64"/>
      <c r="AC429" s="68"/>
      <c r="AD429" s="64"/>
    </row>
    <row r="430" ht="15.75" customHeight="1">
      <c r="A430" s="64"/>
      <c r="B430" s="64"/>
      <c r="C430" s="64"/>
      <c r="D430" s="64"/>
      <c r="E430" s="65"/>
      <c r="G430" s="66"/>
      <c r="H430" s="67"/>
      <c r="I430" s="64"/>
      <c r="J430" s="64"/>
      <c r="K430" s="64"/>
      <c r="L430" s="64"/>
      <c r="M430" s="64"/>
      <c r="N430" s="64"/>
      <c r="O430" s="64"/>
      <c r="P430" s="64"/>
      <c r="Q430" s="64"/>
      <c r="R430" s="64"/>
      <c r="S430" s="68"/>
      <c r="T430" s="64"/>
      <c r="U430" s="64"/>
      <c r="V430" s="64"/>
      <c r="W430" s="64"/>
      <c r="X430" s="64"/>
      <c r="Y430" s="64"/>
      <c r="Z430" s="64"/>
      <c r="AA430" s="64"/>
      <c r="AB430" s="64"/>
      <c r="AC430" s="68"/>
      <c r="AD430" s="64"/>
    </row>
    <row r="431" ht="15.75" customHeight="1">
      <c r="A431" s="64"/>
      <c r="B431" s="64"/>
      <c r="C431" s="64"/>
      <c r="D431" s="64"/>
      <c r="E431" s="65"/>
      <c r="G431" s="66"/>
      <c r="H431" s="67"/>
      <c r="I431" s="64"/>
      <c r="J431" s="64"/>
      <c r="K431" s="64"/>
      <c r="L431" s="64"/>
      <c r="M431" s="64"/>
      <c r="N431" s="64"/>
      <c r="O431" s="64"/>
      <c r="P431" s="64"/>
      <c r="Q431" s="64"/>
      <c r="R431" s="64"/>
      <c r="S431" s="68"/>
      <c r="T431" s="64"/>
      <c r="U431" s="64"/>
      <c r="V431" s="64"/>
      <c r="W431" s="64"/>
      <c r="X431" s="64"/>
      <c r="Y431" s="64"/>
      <c r="Z431" s="64"/>
      <c r="AA431" s="64"/>
      <c r="AB431" s="64"/>
      <c r="AC431" s="68"/>
      <c r="AD431" s="64"/>
    </row>
    <row r="432" ht="15.75" customHeight="1">
      <c r="A432" s="64"/>
      <c r="B432" s="64"/>
      <c r="C432" s="64"/>
      <c r="D432" s="64"/>
      <c r="E432" s="65"/>
      <c r="G432" s="66"/>
      <c r="H432" s="67"/>
      <c r="I432" s="64"/>
      <c r="J432" s="64"/>
      <c r="K432" s="64"/>
      <c r="L432" s="64"/>
      <c r="M432" s="64"/>
      <c r="N432" s="64"/>
      <c r="O432" s="64"/>
      <c r="P432" s="64"/>
      <c r="Q432" s="64"/>
      <c r="R432" s="64"/>
      <c r="S432" s="68"/>
      <c r="T432" s="64"/>
      <c r="U432" s="64"/>
      <c r="V432" s="64"/>
      <c r="W432" s="64"/>
      <c r="X432" s="64"/>
      <c r="Y432" s="64"/>
      <c r="Z432" s="64"/>
      <c r="AA432" s="64"/>
      <c r="AB432" s="64"/>
      <c r="AC432" s="68"/>
      <c r="AD432" s="64"/>
    </row>
    <row r="433" ht="15.75" customHeight="1">
      <c r="A433" s="64"/>
      <c r="B433" s="64"/>
      <c r="C433" s="64"/>
      <c r="D433" s="64"/>
      <c r="E433" s="65"/>
      <c r="G433" s="66"/>
      <c r="H433" s="67"/>
      <c r="I433" s="64"/>
      <c r="J433" s="64"/>
      <c r="K433" s="64"/>
      <c r="L433" s="64"/>
      <c r="M433" s="64"/>
      <c r="N433" s="64"/>
      <c r="O433" s="64"/>
      <c r="P433" s="64"/>
      <c r="Q433" s="64"/>
      <c r="R433" s="64"/>
      <c r="S433" s="68"/>
      <c r="T433" s="64"/>
      <c r="U433" s="64"/>
      <c r="V433" s="64"/>
      <c r="W433" s="64"/>
      <c r="X433" s="64"/>
      <c r="Y433" s="64"/>
      <c r="Z433" s="64"/>
      <c r="AA433" s="64"/>
      <c r="AB433" s="64"/>
      <c r="AC433" s="68"/>
      <c r="AD433" s="64"/>
    </row>
    <row r="434" ht="15.75" customHeight="1">
      <c r="A434" s="64"/>
      <c r="B434" s="64"/>
      <c r="C434" s="64"/>
      <c r="D434" s="64"/>
      <c r="E434" s="65"/>
      <c r="G434" s="66"/>
      <c r="H434" s="67"/>
      <c r="I434" s="64"/>
      <c r="J434" s="64"/>
      <c r="K434" s="64"/>
      <c r="L434" s="64"/>
      <c r="M434" s="64"/>
      <c r="N434" s="64"/>
      <c r="O434" s="64"/>
      <c r="P434" s="64"/>
      <c r="Q434" s="64"/>
      <c r="R434" s="64"/>
      <c r="S434" s="68"/>
      <c r="T434" s="64"/>
      <c r="U434" s="64"/>
      <c r="V434" s="64"/>
      <c r="W434" s="64"/>
      <c r="X434" s="64"/>
      <c r="Y434" s="64"/>
      <c r="Z434" s="64"/>
      <c r="AA434" s="64"/>
      <c r="AB434" s="64"/>
      <c r="AC434" s="68"/>
      <c r="AD434" s="64"/>
    </row>
    <row r="435" ht="15.75" customHeight="1">
      <c r="A435" s="64"/>
      <c r="B435" s="64"/>
      <c r="C435" s="64"/>
      <c r="D435" s="64"/>
      <c r="E435" s="65"/>
      <c r="G435" s="66"/>
      <c r="H435" s="67"/>
      <c r="I435" s="64"/>
      <c r="J435" s="64"/>
      <c r="K435" s="64"/>
      <c r="L435" s="64"/>
      <c r="M435" s="64"/>
      <c r="N435" s="64"/>
      <c r="O435" s="64"/>
      <c r="P435" s="64"/>
      <c r="Q435" s="64"/>
      <c r="R435" s="64"/>
      <c r="S435" s="68"/>
      <c r="T435" s="64"/>
      <c r="U435" s="64"/>
      <c r="V435" s="64"/>
      <c r="W435" s="64"/>
      <c r="X435" s="64"/>
      <c r="Y435" s="64"/>
      <c r="Z435" s="64"/>
      <c r="AA435" s="64"/>
      <c r="AB435" s="64"/>
      <c r="AC435" s="68"/>
      <c r="AD435" s="64"/>
    </row>
    <row r="436" ht="15.75" customHeight="1">
      <c r="A436" s="64"/>
      <c r="B436" s="64"/>
      <c r="C436" s="64"/>
      <c r="D436" s="64"/>
      <c r="E436" s="65"/>
      <c r="G436" s="66"/>
      <c r="H436" s="67"/>
      <c r="I436" s="64"/>
      <c r="J436" s="64"/>
      <c r="K436" s="64"/>
      <c r="L436" s="64"/>
      <c r="M436" s="64"/>
      <c r="N436" s="64"/>
      <c r="O436" s="64"/>
      <c r="P436" s="64"/>
      <c r="Q436" s="64"/>
      <c r="R436" s="64"/>
      <c r="S436" s="68"/>
      <c r="T436" s="64"/>
      <c r="U436" s="64"/>
      <c r="V436" s="64"/>
      <c r="W436" s="64"/>
      <c r="X436" s="64"/>
      <c r="Y436" s="64"/>
      <c r="Z436" s="64"/>
      <c r="AA436" s="64"/>
      <c r="AB436" s="64"/>
      <c r="AC436" s="68"/>
      <c r="AD436" s="64"/>
    </row>
    <row r="437" ht="15.75" customHeight="1">
      <c r="A437" s="64"/>
      <c r="B437" s="64"/>
      <c r="C437" s="64"/>
      <c r="D437" s="64"/>
      <c r="E437" s="65"/>
      <c r="G437" s="66"/>
      <c r="H437" s="67"/>
      <c r="I437" s="64"/>
      <c r="J437" s="64"/>
      <c r="K437" s="64"/>
      <c r="L437" s="64"/>
      <c r="M437" s="64"/>
      <c r="N437" s="64"/>
      <c r="O437" s="64"/>
      <c r="P437" s="64"/>
      <c r="Q437" s="64"/>
      <c r="R437" s="64"/>
      <c r="S437" s="68"/>
      <c r="T437" s="64"/>
      <c r="U437" s="64"/>
      <c r="V437" s="64"/>
      <c r="W437" s="64"/>
      <c r="X437" s="64"/>
      <c r="Y437" s="64"/>
      <c r="Z437" s="64"/>
      <c r="AA437" s="64"/>
      <c r="AB437" s="64"/>
      <c r="AC437" s="68"/>
      <c r="AD437" s="64"/>
    </row>
    <row r="438" ht="15.75" customHeight="1">
      <c r="A438" s="64"/>
      <c r="B438" s="64"/>
      <c r="C438" s="64"/>
      <c r="D438" s="64"/>
      <c r="E438" s="65"/>
      <c r="G438" s="66"/>
      <c r="H438" s="67"/>
      <c r="I438" s="64"/>
      <c r="J438" s="64"/>
      <c r="K438" s="64"/>
      <c r="L438" s="64"/>
      <c r="M438" s="64"/>
      <c r="N438" s="64"/>
      <c r="O438" s="64"/>
      <c r="P438" s="64"/>
      <c r="Q438" s="64"/>
      <c r="R438" s="64"/>
      <c r="S438" s="68"/>
      <c r="T438" s="64"/>
      <c r="U438" s="64"/>
      <c r="V438" s="64"/>
      <c r="W438" s="64"/>
      <c r="X438" s="64"/>
      <c r="Y438" s="64"/>
      <c r="Z438" s="64"/>
      <c r="AA438" s="64"/>
      <c r="AB438" s="64"/>
      <c r="AC438" s="68"/>
      <c r="AD438" s="64"/>
    </row>
    <row r="439" ht="15.75" customHeight="1">
      <c r="A439" s="64"/>
      <c r="B439" s="64"/>
      <c r="C439" s="64"/>
      <c r="D439" s="64"/>
      <c r="E439" s="65"/>
      <c r="G439" s="66"/>
      <c r="H439" s="67"/>
      <c r="I439" s="64"/>
      <c r="J439" s="64"/>
      <c r="K439" s="64"/>
      <c r="L439" s="64"/>
      <c r="M439" s="64"/>
      <c r="N439" s="64"/>
      <c r="O439" s="64"/>
      <c r="P439" s="64"/>
      <c r="Q439" s="64"/>
      <c r="R439" s="64"/>
      <c r="S439" s="68"/>
      <c r="T439" s="64"/>
      <c r="U439" s="64"/>
      <c r="V439" s="64"/>
      <c r="W439" s="64"/>
      <c r="X439" s="64"/>
      <c r="Y439" s="64"/>
      <c r="Z439" s="64"/>
      <c r="AA439" s="64"/>
      <c r="AB439" s="64"/>
      <c r="AC439" s="68"/>
      <c r="AD439" s="64"/>
    </row>
    <row r="440" ht="15.75" customHeight="1">
      <c r="A440" s="64"/>
      <c r="B440" s="64"/>
      <c r="C440" s="64"/>
      <c r="D440" s="64"/>
      <c r="E440" s="65"/>
      <c r="G440" s="66"/>
      <c r="H440" s="67"/>
      <c r="I440" s="64"/>
      <c r="J440" s="64"/>
      <c r="K440" s="64"/>
      <c r="L440" s="64"/>
      <c r="M440" s="64"/>
      <c r="N440" s="64"/>
      <c r="O440" s="64"/>
      <c r="P440" s="64"/>
      <c r="Q440" s="64"/>
      <c r="R440" s="64"/>
      <c r="S440" s="68"/>
      <c r="T440" s="64"/>
      <c r="U440" s="64"/>
      <c r="V440" s="64"/>
      <c r="W440" s="64"/>
      <c r="X440" s="64"/>
      <c r="Y440" s="64"/>
      <c r="Z440" s="64"/>
      <c r="AA440" s="64"/>
      <c r="AB440" s="64"/>
      <c r="AC440" s="68"/>
      <c r="AD440" s="64"/>
    </row>
    <row r="441" ht="15.75" customHeight="1">
      <c r="A441" s="64"/>
      <c r="B441" s="64"/>
      <c r="C441" s="64"/>
      <c r="D441" s="64"/>
      <c r="E441" s="65"/>
      <c r="G441" s="66"/>
      <c r="H441" s="67"/>
      <c r="I441" s="64"/>
      <c r="J441" s="64"/>
      <c r="K441" s="64"/>
      <c r="L441" s="64"/>
      <c r="M441" s="64"/>
      <c r="N441" s="64"/>
      <c r="O441" s="64"/>
      <c r="P441" s="64"/>
      <c r="Q441" s="64"/>
      <c r="R441" s="64"/>
      <c r="S441" s="68"/>
      <c r="T441" s="64"/>
      <c r="U441" s="64"/>
      <c r="V441" s="64"/>
      <c r="W441" s="64"/>
      <c r="X441" s="64"/>
      <c r="Y441" s="64"/>
      <c r="Z441" s="64"/>
      <c r="AA441" s="64"/>
      <c r="AB441" s="64"/>
      <c r="AC441" s="68"/>
      <c r="AD441" s="64"/>
    </row>
    <row r="442" ht="15.75" customHeight="1">
      <c r="A442" s="64"/>
      <c r="B442" s="64"/>
      <c r="C442" s="64"/>
      <c r="D442" s="64"/>
      <c r="E442" s="65"/>
      <c r="G442" s="66"/>
      <c r="H442" s="67"/>
      <c r="I442" s="64"/>
      <c r="J442" s="64"/>
      <c r="K442" s="64"/>
      <c r="L442" s="64"/>
      <c r="M442" s="64"/>
      <c r="N442" s="64"/>
      <c r="O442" s="64"/>
      <c r="P442" s="64"/>
      <c r="Q442" s="64"/>
      <c r="R442" s="64"/>
      <c r="S442" s="68"/>
      <c r="T442" s="64"/>
      <c r="U442" s="64"/>
      <c r="V442" s="64"/>
      <c r="W442" s="64"/>
      <c r="X442" s="64"/>
      <c r="Y442" s="64"/>
      <c r="Z442" s="64"/>
      <c r="AA442" s="64"/>
      <c r="AB442" s="64"/>
      <c r="AC442" s="68"/>
      <c r="AD442" s="64"/>
    </row>
    <row r="443" ht="15.75" customHeight="1">
      <c r="A443" s="64"/>
      <c r="B443" s="64"/>
      <c r="C443" s="64"/>
      <c r="D443" s="64"/>
      <c r="E443" s="65"/>
      <c r="G443" s="66"/>
      <c r="H443" s="67"/>
      <c r="I443" s="64"/>
      <c r="J443" s="64"/>
      <c r="K443" s="64"/>
      <c r="L443" s="64"/>
      <c r="M443" s="64"/>
      <c r="N443" s="64"/>
      <c r="O443" s="64"/>
      <c r="P443" s="64"/>
      <c r="Q443" s="64"/>
      <c r="R443" s="64"/>
      <c r="S443" s="68"/>
      <c r="T443" s="64"/>
      <c r="U443" s="64"/>
      <c r="V443" s="64"/>
      <c r="W443" s="64"/>
      <c r="X443" s="64"/>
      <c r="Y443" s="64"/>
      <c r="Z443" s="64"/>
      <c r="AA443" s="64"/>
      <c r="AB443" s="64"/>
      <c r="AC443" s="68"/>
      <c r="AD443" s="64"/>
    </row>
    <row r="444" ht="15.75" customHeight="1">
      <c r="A444" s="64"/>
      <c r="B444" s="64"/>
      <c r="C444" s="64"/>
      <c r="D444" s="64"/>
      <c r="E444" s="65"/>
      <c r="G444" s="66"/>
      <c r="H444" s="67"/>
      <c r="I444" s="64"/>
      <c r="J444" s="64"/>
      <c r="K444" s="64"/>
      <c r="L444" s="64"/>
      <c r="M444" s="64"/>
      <c r="N444" s="64"/>
      <c r="O444" s="64"/>
      <c r="P444" s="64"/>
      <c r="Q444" s="64"/>
      <c r="R444" s="64"/>
      <c r="S444" s="68"/>
      <c r="T444" s="64"/>
      <c r="U444" s="64"/>
      <c r="V444" s="64"/>
      <c r="W444" s="64"/>
      <c r="X444" s="64"/>
      <c r="Y444" s="64"/>
      <c r="Z444" s="64"/>
      <c r="AA444" s="64"/>
      <c r="AB444" s="64"/>
      <c r="AC444" s="68"/>
      <c r="AD444" s="64"/>
    </row>
    <row r="445" ht="15.75" customHeight="1">
      <c r="A445" s="64"/>
      <c r="B445" s="64"/>
      <c r="C445" s="64"/>
      <c r="D445" s="64"/>
      <c r="E445" s="65"/>
      <c r="G445" s="66"/>
      <c r="H445" s="67"/>
      <c r="I445" s="64"/>
      <c r="J445" s="64"/>
      <c r="K445" s="64"/>
      <c r="L445" s="64"/>
      <c r="M445" s="64"/>
      <c r="N445" s="64"/>
      <c r="O445" s="64"/>
      <c r="P445" s="64"/>
      <c r="Q445" s="64"/>
      <c r="R445" s="64"/>
      <c r="S445" s="68"/>
      <c r="T445" s="64"/>
      <c r="U445" s="64"/>
      <c r="V445" s="64"/>
      <c r="W445" s="64"/>
      <c r="X445" s="64"/>
      <c r="Y445" s="64"/>
      <c r="Z445" s="64"/>
      <c r="AA445" s="64"/>
      <c r="AB445" s="64"/>
      <c r="AC445" s="68"/>
      <c r="AD445" s="64"/>
    </row>
    <row r="446" ht="15.75" customHeight="1">
      <c r="A446" s="64"/>
      <c r="B446" s="64"/>
      <c r="C446" s="64"/>
      <c r="D446" s="64"/>
      <c r="E446" s="65"/>
      <c r="G446" s="66"/>
      <c r="H446" s="67"/>
      <c r="I446" s="64"/>
      <c r="J446" s="64"/>
      <c r="K446" s="64"/>
      <c r="L446" s="64"/>
      <c r="M446" s="64"/>
      <c r="N446" s="64"/>
      <c r="O446" s="64"/>
      <c r="P446" s="64"/>
      <c r="Q446" s="64"/>
      <c r="R446" s="64"/>
      <c r="S446" s="68"/>
      <c r="T446" s="64"/>
      <c r="U446" s="64"/>
      <c r="V446" s="64"/>
      <c r="W446" s="64"/>
      <c r="X446" s="64"/>
      <c r="Y446" s="64"/>
      <c r="Z446" s="64"/>
      <c r="AA446" s="64"/>
      <c r="AB446" s="64"/>
      <c r="AC446" s="68"/>
      <c r="AD446" s="64"/>
    </row>
    <row r="447" ht="15.75" customHeight="1">
      <c r="A447" s="64"/>
      <c r="B447" s="64"/>
      <c r="C447" s="64"/>
      <c r="D447" s="64"/>
      <c r="E447" s="65"/>
      <c r="G447" s="66"/>
      <c r="H447" s="67"/>
      <c r="I447" s="64"/>
      <c r="J447" s="64"/>
      <c r="K447" s="64"/>
      <c r="L447" s="64"/>
      <c r="M447" s="64"/>
      <c r="N447" s="64"/>
      <c r="O447" s="64"/>
      <c r="P447" s="64"/>
      <c r="Q447" s="64"/>
      <c r="R447" s="64"/>
      <c r="S447" s="68"/>
      <c r="T447" s="64"/>
      <c r="U447" s="64"/>
      <c r="V447" s="64"/>
      <c r="W447" s="64"/>
      <c r="X447" s="64"/>
      <c r="Y447" s="64"/>
      <c r="Z447" s="64"/>
      <c r="AA447" s="64"/>
      <c r="AB447" s="64"/>
      <c r="AC447" s="68"/>
      <c r="AD447" s="64"/>
    </row>
    <row r="448" ht="15.75" customHeight="1">
      <c r="A448" s="64"/>
      <c r="B448" s="64"/>
      <c r="C448" s="64"/>
      <c r="D448" s="64"/>
      <c r="E448" s="65"/>
      <c r="G448" s="66"/>
      <c r="H448" s="67"/>
      <c r="I448" s="64"/>
      <c r="J448" s="64"/>
      <c r="K448" s="64"/>
      <c r="L448" s="64"/>
      <c r="M448" s="64"/>
      <c r="N448" s="64"/>
      <c r="O448" s="64"/>
      <c r="P448" s="64"/>
      <c r="Q448" s="64"/>
      <c r="R448" s="64"/>
      <c r="S448" s="68"/>
      <c r="T448" s="64"/>
      <c r="U448" s="64"/>
      <c r="V448" s="64"/>
      <c r="W448" s="64"/>
      <c r="X448" s="64"/>
      <c r="Y448" s="64"/>
      <c r="Z448" s="64"/>
      <c r="AA448" s="64"/>
      <c r="AB448" s="64"/>
      <c r="AC448" s="68"/>
      <c r="AD448" s="64"/>
    </row>
    <row r="449" ht="15.75" customHeight="1">
      <c r="A449" s="64"/>
      <c r="B449" s="64"/>
      <c r="C449" s="64"/>
      <c r="D449" s="64"/>
      <c r="E449" s="65"/>
      <c r="G449" s="66"/>
      <c r="H449" s="67"/>
      <c r="I449" s="64"/>
      <c r="J449" s="64"/>
      <c r="K449" s="64"/>
      <c r="L449" s="64"/>
      <c r="M449" s="64"/>
      <c r="N449" s="64"/>
      <c r="O449" s="64"/>
      <c r="P449" s="64"/>
      <c r="Q449" s="64"/>
      <c r="R449" s="64"/>
      <c r="S449" s="68"/>
      <c r="T449" s="64"/>
      <c r="U449" s="64"/>
      <c r="V449" s="64"/>
      <c r="W449" s="64"/>
      <c r="X449" s="64"/>
      <c r="Y449" s="64"/>
      <c r="Z449" s="64"/>
      <c r="AA449" s="64"/>
      <c r="AB449" s="64"/>
      <c r="AC449" s="68"/>
      <c r="AD449" s="64"/>
    </row>
    <row r="450" ht="15.75" customHeight="1">
      <c r="A450" s="64"/>
      <c r="B450" s="64"/>
      <c r="C450" s="64"/>
      <c r="D450" s="64"/>
      <c r="E450" s="65"/>
      <c r="G450" s="66"/>
      <c r="H450" s="67"/>
      <c r="I450" s="64"/>
      <c r="J450" s="64"/>
      <c r="K450" s="64"/>
      <c r="L450" s="64"/>
      <c r="M450" s="64"/>
      <c r="N450" s="64"/>
      <c r="O450" s="64"/>
      <c r="P450" s="64"/>
      <c r="Q450" s="64"/>
      <c r="R450" s="64"/>
      <c r="S450" s="68"/>
      <c r="T450" s="64"/>
      <c r="U450" s="64"/>
      <c r="V450" s="64"/>
      <c r="W450" s="64"/>
      <c r="X450" s="64"/>
      <c r="Y450" s="64"/>
      <c r="Z450" s="64"/>
      <c r="AA450" s="64"/>
      <c r="AB450" s="64"/>
      <c r="AC450" s="68"/>
      <c r="AD450" s="64"/>
    </row>
    <row r="451" ht="15.75" customHeight="1">
      <c r="A451" s="64"/>
      <c r="B451" s="64"/>
      <c r="C451" s="64"/>
      <c r="D451" s="64"/>
      <c r="E451" s="65"/>
      <c r="G451" s="66"/>
      <c r="H451" s="67"/>
      <c r="I451" s="64"/>
      <c r="J451" s="64"/>
      <c r="K451" s="64"/>
      <c r="L451" s="64"/>
      <c r="M451" s="64"/>
      <c r="N451" s="64"/>
      <c r="O451" s="64"/>
      <c r="P451" s="64"/>
      <c r="Q451" s="64"/>
      <c r="R451" s="64"/>
      <c r="S451" s="68"/>
      <c r="T451" s="64"/>
      <c r="U451" s="64"/>
      <c r="V451" s="64"/>
      <c r="W451" s="64"/>
      <c r="X451" s="64"/>
      <c r="Y451" s="64"/>
      <c r="Z451" s="64"/>
      <c r="AA451" s="64"/>
      <c r="AB451" s="64"/>
      <c r="AC451" s="68"/>
      <c r="AD451" s="64"/>
    </row>
    <row r="452" ht="15.75" customHeight="1">
      <c r="A452" s="64"/>
      <c r="B452" s="64"/>
      <c r="C452" s="64"/>
      <c r="D452" s="64"/>
      <c r="E452" s="65"/>
      <c r="G452" s="66"/>
      <c r="H452" s="67"/>
      <c r="I452" s="64"/>
      <c r="J452" s="64"/>
      <c r="K452" s="64"/>
      <c r="L452" s="64"/>
      <c r="M452" s="64"/>
      <c r="N452" s="64"/>
      <c r="O452" s="64"/>
      <c r="P452" s="64"/>
      <c r="Q452" s="64"/>
      <c r="R452" s="64"/>
      <c r="S452" s="68"/>
      <c r="T452" s="64"/>
      <c r="U452" s="64"/>
      <c r="V452" s="64"/>
      <c r="W452" s="64"/>
      <c r="X452" s="64"/>
      <c r="Y452" s="64"/>
      <c r="Z452" s="64"/>
      <c r="AA452" s="64"/>
      <c r="AB452" s="64"/>
      <c r="AC452" s="68"/>
      <c r="AD452" s="64"/>
    </row>
    <row r="453" ht="15.75" customHeight="1">
      <c r="A453" s="64"/>
      <c r="B453" s="64"/>
      <c r="C453" s="64"/>
      <c r="D453" s="64"/>
      <c r="E453" s="65"/>
      <c r="G453" s="66"/>
      <c r="H453" s="67"/>
      <c r="I453" s="64"/>
      <c r="J453" s="64"/>
      <c r="K453" s="64"/>
      <c r="L453" s="64"/>
      <c r="M453" s="64"/>
      <c r="N453" s="64"/>
      <c r="O453" s="64"/>
      <c r="P453" s="64"/>
      <c r="Q453" s="64"/>
      <c r="R453" s="64"/>
      <c r="S453" s="68"/>
      <c r="T453" s="64"/>
      <c r="U453" s="64"/>
      <c r="V453" s="64"/>
      <c r="W453" s="64"/>
      <c r="X453" s="64"/>
      <c r="Y453" s="64"/>
      <c r="Z453" s="64"/>
      <c r="AA453" s="64"/>
      <c r="AB453" s="64"/>
      <c r="AC453" s="68"/>
      <c r="AD453" s="64"/>
    </row>
    <row r="454" ht="15.75" customHeight="1">
      <c r="A454" s="64"/>
      <c r="B454" s="64"/>
      <c r="C454" s="64"/>
      <c r="D454" s="64"/>
      <c r="E454" s="65"/>
      <c r="G454" s="66"/>
      <c r="H454" s="67"/>
      <c r="I454" s="64"/>
      <c r="J454" s="64"/>
      <c r="K454" s="64"/>
      <c r="L454" s="64"/>
      <c r="M454" s="64"/>
      <c r="N454" s="64"/>
      <c r="O454" s="64"/>
      <c r="P454" s="64"/>
      <c r="Q454" s="64"/>
      <c r="R454" s="64"/>
      <c r="S454" s="68"/>
      <c r="T454" s="64"/>
      <c r="U454" s="64"/>
      <c r="V454" s="64"/>
      <c r="W454" s="64"/>
      <c r="X454" s="64"/>
      <c r="Y454" s="64"/>
      <c r="Z454" s="64"/>
      <c r="AA454" s="64"/>
      <c r="AB454" s="64"/>
      <c r="AC454" s="68"/>
      <c r="AD454" s="64"/>
    </row>
    <row r="455" ht="15.75" customHeight="1">
      <c r="A455" s="64"/>
      <c r="B455" s="64"/>
      <c r="C455" s="64"/>
      <c r="D455" s="64"/>
      <c r="E455" s="65"/>
      <c r="G455" s="66"/>
      <c r="H455" s="67"/>
      <c r="I455" s="64"/>
      <c r="J455" s="64"/>
      <c r="K455" s="64"/>
      <c r="L455" s="64"/>
      <c r="M455" s="64"/>
      <c r="N455" s="64"/>
      <c r="O455" s="64"/>
      <c r="P455" s="64"/>
      <c r="Q455" s="64"/>
      <c r="R455" s="64"/>
      <c r="S455" s="68"/>
      <c r="T455" s="64"/>
      <c r="U455" s="64"/>
      <c r="V455" s="64"/>
      <c r="W455" s="64"/>
      <c r="X455" s="64"/>
      <c r="Y455" s="64"/>
      <c r="Z455" s="64"/>
      <c r="AA455" s="64"/>
      <c r="AB455" s="64"/>
      <c r="AC455" s="68"/>
      <c r="AD455" s="64"/>
    </row>
    <row r="456" ht="15.75" customHeight="1">
      <c r="A456" s="64"/>
      <c r="B456" s="64"/>
      <c r="C456" s="64"/>
      <c r="D456" s="64"/>
      <c r="E456" s="65"/>
      <c r="G456" s="66"/>
      <c r="H456" s="67"/>
      <c r="I456" s="64"/>
      <c r="J456" s="64"/>
      <c r="K456" s="64"/>
      <c r="L456" s="64"/>
      <c r="M456" s="64"/>
      <c r="N456" s="64"/>
      <c r="O456" s="64"/>
      <c r="P456" s="64"/>
      <c r="Q456" s="64"/>
      <c r="R456" s="64"/>
      <c r="S456" s="68"/>
      <c r="T456" s="64"/>
      <c r="U456" s="64"/>
      <c r="V456" s="64"/>
      <c r="W456" s="64"/>
      <c r="X456" s="64"/>
      <c r="Y456" s="64"/>
      <c r="Z456" s="64"/>
      <c r="AA456" s="64"/>
      <c r="AB456" s="64"/>
      <c r="AC456" s="68"/>
      <c r="AD456" s="64"/>
    </row>
    <row r="457" ht="15.75" customHeight="1">
      <c r="A457" s="64"/>
      <c r="B457" s="64"/>
      <c r="C457" s="64"/>
      <c r="D457" s="64"/>
      <c r="E457" s="65"/>
      <c r="G457" s="66"/>
      <c r="H457" s="67"/>
      <c r="I457" s="64"/>
      <c r="J457" s="64"/>
      <c r="K457" s="64"/>
      <c r="L457" s="64"/>
      <c r="M457" s="64"/>
      <c r="N457" s="64"/>
      <c r="O457" s="64"/>
      <c r="P457" s="64"/>
      <c r="Q457" s="64"/>
      <c r="R457" s="64"/>
      <c r="S457" s="68"/>
      <c r="T457" s="64"/>
      <c r="U457" s="64"/>
      <c r="V457" s="64"/>
      <c r="W457" s="64"/>
      <c r="X457" s="64"/>
      <c r="Y457" s="64"/>
      <c r="Z457" s="64"/>
      <c r="AA457" s="64"/>
      <c r="AB457" s="64"/>
      <c r="AC457" s="68"/>
      <c r="AD457" s="64"/>
    </row>
    <row r="458" ht="15.75" customHeight="1">
      <c r="A458" s="64"/>
      <c r="B458" s="64"/>
      <c r="C458" s="64"/>
      <c r="D458" s="64"/>
      <c r="E458" s="65"/>
      <c r="G458" s="66"/>
      <c r="H458" s="67"/>
      <c r="I458" s="64"/>
      <c r="J458" s="64"/>
      <c r="K458" s="64"/>
      <c r="L458" s="64"/>
      <c r="M458" s="64"/>
      <c r="N458" s="64"/>
      <c r="O458" s="64"/>
      <c r="P458" s="64"/>
      <c r="Q458" s="64"/>
      <c r="R458" s="64"/>
      <c r="S458" s="68"/>
      <c r="T458" s="64"/>
      <c r="U458" s="64"/>
      <c r="V458" s="64"/>
      <c r="W458" s="64"/>
      <c r="X458" s="64"/>
      <c r="Y458" s="64"/>
      <c r="Z458" s="64"/>
      <c r="AA458" s="64"/>
      <c r="AB458" s="64"/>
      <c r="AC458" s="68"/>
      <c r="AD458" s="64"/>
    </row>
    <row r="459" ht="15.75" customHeight="1">
      <c r="A459" s="64"/>
      <c r="B459" s="64"/>
      <c r="C459" s="64"/>
      <c r="D459" s="64"/>
      <c r="E459" s="65"/>
      <c r="G459" s="66"/>
      <c r="H459" s="67"/>
      <c r="I459" s="64"/>
      <c r="J459" s="64"/>
      <c r="K459" s="64"/>
      <c r="L459" s="64"/>
      <c r="M459" s="64"/>
      <c r="N459" s="64"/>
      <c r="O459" s="64"/>
      <c r="P459" s="64"/>
      <c r="Q459" s="64"/>
      <c r="R459" s="64"/>
      <c r="S459" s="68"/>
      <c r="T459" s="64"/>
      <c r="U459" s="64"/>
      <c r="V459" s="64"/>
      <c r="W459" s="64"/>
      <c r="X459" s="64"/>
      <c r="Y459" s="64"/>
      <c r="Z459" s="64"/>
      <c r="AA459" s="64"/>
      <c r="AB459" s="64"/>
      <c r="AC459" s="68"/>
      <c r="AD459" s="64"/>
    </row>
    <row r="460" ht="15.75" customHeight="1">
      <c r="A460" s="64"/>
      <c r="B460" s="64"/>
      <c r="C460" s="64"/>
      <c r="D460" s="64"/>
      <c r="E460" s="65"/>
      <c r="G460" s="66"/>
      <c r="H460" s="67"/>
      <c r="I460" s="64"/>
      <c r="J460" s="64"/>
      <c r="K460" s="64"/>
      <c r="L460" s="64"/>
      <c r="M460" s="64"/>
      <c r="N460" s="64"/>
      <c r="O460" s="64"/>
      <c r="P460" s="64"/>
      <c r="Q460" s="64"/>
      <c r="R460" s="64"/>
      <c r="S460" s="68"/>
      <c r="T460" s="64"/>
      <c r="U460" s="64"/>
      <c r="V460" s="64"/>
      <c r="W460" s="64"/>
      <c r="X460" s="64"/>
      <c r="Y460" s="64"/>
      <c r="Z460" s="64"/>
      <c r="AA460" s="64"/>
      <c r="AB460" s="64"/>
      <c r="AC460" s="68"/>
      <c r="AD460" s="64"/>
    </row>
    <row r="461" ht="15.75" customHeight="1">
      <c r="A461" s="64"/>
      <c r="B461" s="64"/>
      <c r="C461" s="64"/>
      <c r="D461" s="64"/>
      <c r="E461" s="65"/>
      <c r="G461" s="66"/>
      <c r="H461" s="67"/>
      <c r="I461" s="64"/>
      <c r="J461" s="64"/>
      <c r="K461" s="64"/>
      <c r="L461" s="64"/>
      <c r="M461" s="64"/>
      <c r="N461" s="64"/>
      <c r="O461" s="64"/>
      <c r="P461" s="64"/>
      <c r="Q461" s="64"/>
      <c r="R461" s="64"/>
      <c r="S461" s="68"/>
      <c r="T461" s="64"/>
      <c r="U461" s="64"/>
      <c r="V461" s="64"/>
      <c r="W461" s="64"/>
      <c r="X461" s="64"/>
      <c r="Y461" s="64"/>
      <c r="Z461" s="64"/>
      <c r="AA461" s="64"/>
      <c r="AB461" s="64"/>
      <c r="AC461" s="68"/>
      <c r="AD461" s="64"/>
    </row>
    <row r="462" ht="15.75" customHeight="1">
      <c r="A462" s="64"/>
      <c r="B462" s="64"/>
      <c r="C462" s="64"/>
      <c r="D462" s="64"/>
      <c r="E462" s="65"/>
      <c r="G462" s="66"/>
      <c r="H462" s="67"/>
      <c r="I462" s="64"/>
      <c r="J462" s="64"/>
      <c r="K462" s="64"/>
      <c r="L462" s="64"/>
      <c r="M462" s="64"/>
      <c r="N462" s="64"/>
      <c r="O462" s="64"/>
      <c r="P462" s="64"/>
      <c r="Q462" s="64"/>
      <c r="R462" s="64"/>
      <c r="S462" s="68"/>
      <c r="T462" s="64"/>
      <c r="U462" s="64"/>
      <c r="V462" s="64"/>
      <c r="W462" s="64"/>
      <c r="X462" s="64"/>
      <c r="Y462" s="64"/>
      <c r="Z462" s="64"/>
      <c r="AA462" s="64"/>
      <c r="AB462" s="64"/>
      <c r="AC462" s="68"/>
      <c r="AD462" s="64"/>
    </row>
    <row r="463" ht="15.75" customHeight="1">
      <c r="A463" s="64"/>
      <c r="B463" s="64"/>
      <c r="C463" s="64"/>
      <c r="D463" s="64"/>
      <c r="E463" s="65"/>
      <c r="G463" s="66"/>
      <c r="H463" s="67"/>
      <c r="I463" s="64"/>
      <c r="J463" s="64"/>
      <c r="K463" s="64"/>
      <c r="L463" s="64"/>
      <c r="M463" s="64"/>
      <c r="N463" s="64"/>
      <c r="O463" s="64"/>
      <c r="P463" s="64"/>
      <c r="Q463" s="64"/>
      <c r="R463" s="64"/>
      <c r="S463" s="68"/>
      <c r="T463" s="64"/>
      <c r="U463" s="64"/>
      <c r="V463" s="64"/>
      <c r="W463" s="64"/>
      <c r="X463" s="64"/>
      <c r="Y463" s="64"/>
      <c r="Z463" s="64"/>
      <c r="AA463" s="64"/>
      <c r="AB463" s="64"/>
      <c r="AC463" s="68"/>
      <c r="AD463" s="64"/>
    </row>
    <row r="464" ht="15.75" customHeight="1">
      <c r="A464" s="64"/>
      <c r="B464" s="64"/>
      <c r="C464" s="64"/>
      <c r="D464" s="64"/>
      <c r="E464" s="65"/>
      <c r="G464" s="66"/>
      <c r="H464" s="67"/>
      <c r="I464" s="64"/>
      <c r="J464" s="64"/>
      <c r="K464" s="64"/>
      <c r="L464" s="64"/>
      <c r="M464" s="64"/>
      <c r="N464" s="64"/>
      <c r="O464" s="64"/>
      <c r="P464" s="64"/>
      <c r="Q464" s="64"/>
      <c r="R464" s="64"/>
      <c r="S464" s="68"/>
      <c r="T464" s="64"/>
      <c r="U464" s="64"/>
      <c r="V464" s="64"/>
      <c r="W464" s="64"/>
      <c r="X464" s="64"/>
      <c r="Y464" s="64"/>
      <c r="Z464" s="64"/>
      <c r="AA464" s="64"/>
      <c r="AB464" s="64"/>
      <c r="AC464" s="68"/>
      <c r="AD464" s="64"/>
    </row>
    <row r="465" ht="15.75" customHeight="1">
      <c r="A465" s="64"/>
      <c r="B465" s="64"/>
      <c r="C465" s="64"/>
      <c r="D465" s="64"/>
      <c r="E465" s="65"/>
      <c r="G465" s="66"/>
      <c r="H465" s="67"/>
      <c r="I465" s="64"/>
      <c r="J465" s="64"/>
      <c r="K465" s="64"/>
      <c r="L465" s="64"/>
      <c r="M465" s="64"/>
      <c r="N465" s="64"/>
      <c r="O465" s="64"/>
      <c r="P465" s="64"/>
      <c r="Q465" s="64"/>
      <c r="R465" s="64"/>
      <c r="S465" s="68"/>
      <c r="T465" s="64"/>
      <c r="U465" s="64"/>
      <c r="V465" s="64"/>
      <c r="W465" s="64"/>
      <c r="X465" s="64"/>
      <c r="Y465" s="64"/>
      <c r="Z465" s="64"/>
      <c r="AA465" s="64"/>
      <c r="AB465" s="64"/>
      <c r="AC465" s="68"/>
      <c r="AD465" s="64"/>
    </row>
    <row r="466" ht="15.75" customHeight="1">
      <c r="A466" s="64"/>
      <c r="B466" s="64"/>
      <c r="C466" s="64"/>
      <c r="D466" s="64"/>
      <c r="E466" s="65"/>
      <c r="G466" s="66"/>
      <c r="H466" s="67"/>
      <c r="I466" s="64"/>
      <c r="J466" s="64"/>
      <c r="K466" s="64"/>
      <c r="L466" s="64"/>
      <c r="M466" s="64"/>
      <c r="N466" s="64"/>
      <c r="O466" s="64"/>
      <c r="P466" s="64"/>
      <c r="Q466" s="64"/>
      <c r="R466" s="64"/>
      <c r="S466" s="68"/>
      <c r="T466" s="64"/>
      <c r="U466" s="64"/>
      <c r="V466" s="64"/>
      <c r="W466" s="64"/>
      <c r="X466" s="64"/>
      <c r="Y466" s="64"/>
      <c r="Z466" s="64"/>
      <c r="AA466" s="64"/>
      <c r="AB466" s="64"/>
      <c r="AC466" s="68"/>
      <c r="AD466" s="64"/>
    </row>
    <row r="467" ht="15.75" customHeight="1">
      <c r="A467" s="64"/>
      <c r="B467" s="64"/>
      <c r="C467" s="64"/>
      <c r="D467" s="64"/>
      <c r="E467" s="65"/>
      <c r="G467" s="66"/>
      <c r="H467" s="67"/>
      <c r="I467" s="64"/>
      <c r="J467" s="64"/>
      <c r="K467" s="64"/>
      <c r="L467" s="64"/>
      <c r="M467" s="64"/>
      <c r="N467" s="64"/>
      <c r="O467" s="64"/>
      <c r="P467" s="64"/>
      <c r="Q467" s="64"/>
      <c r="R467" s="64"/>
      <c r="S467" s="68"/>
      <c r="T467" s="64"/>
      <c r="U467" s="64"/>
      <c r="V467" s="64"/>
      <c r="W467" s="64"/>
      <c r="X467" s="64"/>
      <c r="Y467" s="64"/>
      <c r="Z467" s="64"/>
      <c r="AA467" s="64"/>
      <c r="AB467" s="64"/>
      <c r="AC467" s="68"/>
      <c r="AD467" s="64"/>
    </row>
    <row r="468" ht="15.75" customHeight="1">
      <c r="A468" s="64"/>
      <c r="B468" s="64"/>
      <c r="C468" s="64"/>
      <c r="D468" s="64"/>
      <c r="E468" s="65"/>
      <c r="G468" s="66"/>
      <c r="H468" s="67"/>
      <c r="I468" s="64"/>
      <c r="J468" s="64"/>
      <c r="K468" s="64"/>
      <c r="L468" s="64"/>
      <c r="M468" s="64"/>
      <c r="N468" s="64"/>
      <c r="O468" s="64"/>
      <c r="P468" s="64"/>
      <c r="Q468" s="64"/>
      <c r="R468" s="64"/>
      <c r="S468" s="68"/>
      <c r="T468" s="64"/>
      <c r="U468" s="64"/>
      <c r="V468" s="64"/>
      <c r="W468" s="64"/>
      <c r="X468" s="64"/>
      <c r="Y468" s="64"/>
      <c r="Z468" s="64"/>
      <c r="AA468" s="64"/>
      <c r="AB468" s="64"/>
      <c r="AC468" s="68"/>
      <c r="AD468" s="64"/>
    </row>
    <row r="469" ht="15.75" customHeight="1">
      <c r="A469" s="64"/>
      <c r="B469" s="64"/>
      <c r="C469" s="64"/>
      <c r="D469" s="64"/>
      <c r="E469" s="65"/>
      <c r="G469" s="66"/>
      <c r="H469" s="67"/>
      <c r="I469" s="64"/>
      <c r="J469" s="64"/>
      <c r="K469" s="64"/>
      <c r="L469" s="64"/>
      <c r="M469" s="64"/>
      <c r="N469" s="64"/>
      <c r="O469" s="64"/>
      <c r="P469" s="64"/>
      <c r="Q469" s="64"/>
      <c r="R469" s="64"/>
      <c r="S469" s="68"/>
      <c r="T469" s="64"/>
      <c r="U469" s="64"/>
      <c r="V469" s="64"/>
      <c r="W469" s="64"/>
      <c r="X469" s="64"/>
      <c r="Y469" s="64"/>
      <c r="Z469" s="64"/>
      <c r="AA469" s="64"/>
      <c r="AB469" s="64"/>
      <c r="AC469" s="68"/>
      <c r="AD469" s="64"/>
    </row>
    <row r="470" ht="15.75" customHeight="1">
      <c r="A470" s="64"/>
      <c r="B470" s="64"/>
      <c r="C470" s="64"/>
      <c r="D470" s="64"/>
      <c r="E470" s="65"/>
      <c r="G470" s="66"/>
      <c r="H470" s="67"/>
      <c r="I470" s="64"/>
      <c r="J470" s="64"/>
      <c r="K470" s="64"/>
      <c r="L470" s="64"/>
      <c r="M470" s="64"/>
      <c r="N470" s="64"/>
      <c r="O470" s="64"/>
      <c r="P470" s="64"/>
      <c r="Q470" s="64"/>
      <c r="R470" s="64"/>
      <c r="S470" s="68"/>
      <c r="T470" s="64"/>
      <c r="U470" s="64"/>
      <c r="V470" s="64"/>
      <c r="W470" s="64"/>
      <c r="X470" s="64"/>
      <c r="Y470" s="64"/>
      <c r="Z470" s="64"/>
      <c r="AA470" s="64"/>
      <c r="AB470" s="64"/>
      <c r="AC470" s="68"/>
      <c r="AD470" s="64"/>
    </row>
    <row r="471" ht="15.75" customHeight="1">
      <c r="A471" s="64"/>
      <c r="B471" s="64"/>
      <c r="C471" s="64"/>
      <c r="D471" s="64"/>
      <c r="E471" s="64"/>
      <c r="G471" s="68"/>
      <c r="H471" s="67"/>
      <c r="I471" s="64"/>
      <c r="J471" s="64"/>
      <c r="K471" s="64"/>
      <c r="L471" s="64"/>
      <c r="M471" s="64"/>
      <c r="N471" s="64"/>
      <c r="O471" s="64"/>
      <c r="P471" s="64"/>
      <c r="Q471" s="64"/>
      <c r="R471" s="64"/>
      <c r="S471" s="68"/>
      <c r="T471" s="64"/>
      <c r="U471" s="64"/>
      <c r="V471" s="64"/>
      <c r="W471" s="64"/>
      <c r="X471" s="64"/>
      <c r="Y471" s="64"/>
      <c r="Z471" s="64"/>
      <c r="AA471" s="64"/>
      <c r="AB471" s="64"/>
      <c r="AC471" s="68"/>
      <c r="AD471" s="64"/>
    </row>
    <row r="472" ht="15.75" customHeight="1">
      <c r="A472" s="64"/>
      <c r="B472" s="64"/>
      <c r="C472" s="64"/>
      <c r="D472" s="64"/>
      <c r="E472" s="64"/>
      <c r="G472" s="68"/>
      <c r="H472" s="67"/>
      <c r="I472" s="64"/>
      <c r="J472" s="64"/>
      <c r="K472" s="64"/>
      <c r="L472" s="64"/>
      <c r="M472" s="64"/>
      <c r="N472" s="64"/>
      <c r="O472" s="64"/>
      <c r="P472" s="64"/>
      <c r="Q472" s="64"/>
      <c r="R472" s="64"/>
      <c r="S472" s="68"/>
      <c r="T472" s="64"/>
      <c r="U472" s="64"/>
      <c r="V472" s="64"/>
      <c r="W472" s="64"/>
      <c r="X472" s="64"/>
      <c r="Y472" s="64"/>
      <c r="Z472" s="64"/>
      <c r="AA472" s="64"/>
      <c r="AB472" s="64"/>
      <c r="AC472" s="68"/>
      <c r="AD472" s="64"/>
    </row>
    <row r="473" ht="15.75" customHeight="1">
      <c r="A473" s="64"/>
      <c r="B473" s="64"/>
      <c r="C473" s="64"/>
      <c r="D473" s="64"/>
      <c r="E473" s="64"/>
      <c r="G473" s="68"/>
      <c r="H473" s="67"/>
      <c r="I473" s="64"/>
      <c r="J473" s="64"/>
      <c r="K473" s="64"/>
      <c r="L473" s="64"/>
      <c r="M473" s="64"/>
      <c r="N473" s="64"/>
      <c r="O473" s="64"/>
      <c r="P473" s="64"/>
      <c r="Q473" s="64"/>
      <c r="R473" s="64"/>
      <c r="S473" s="68"/>
      <c r="T473" s="64"/>
      <c r="U473" s="64"/>
      <c r="V473" s="64"/>
      <c r="W473" s="64"/>
      <c r="X473" s="64"/>
      <c r="Y473" s="64"/>
      <c r="Z473" s="64"/>
      <c r="AA473" s="64"/>
      <c r="AB473" s="64"/>
      <c r="AC473" s="68"/>
      <c r="AD473" s="64"/>
    </row>
    <row r="474" ht="15.75" customHeight="1">
      <c r="A474" s="64"/>
      <c r="B474" s="64"/>
      <c r="C474" s="64"/>
      <c r="D474" s="64"/>
      <c r="E474" s="64"/>
      <c r="G474" s="68"/>
      <c r="H474" s="67"/>
      <c r="I474" s="64"/>
      <c r="J474" s="64"/>
      <c r="K474" s="64"/>
      <c r="L474" s="64"/>
      <c r="M474" s="64"/>
      <c r="N474" s="64"/>
      <c r="O474" s="64"/>
      <c r="P474" s="64"/>
      <c r="Q474" s="64"/>
      <c r="R474" s="64"/>
      <c r="S474" s="68"/>
      <c r="T474" s="64"/>
      <c r="U474" s="64"/>
      <c r="V474" s="64"/>
      <c r="W474" s="64"/>
      <c r="X474" s="64"/>
      <c r="Y474" s="64"/>
      <c r="Z474" s="64"/>
      <c r="AA474" s="64"/>
      <c r="AB474" s="64"/>
      <c r="AC474" s="68"/>
      <c r="AD474" s="64"/>
    </row>
    <row r="475" ht="15.75" customHeight="1">
      <c r="A475" s="64"/>
      <c r="B475" s="64"/>
      <c r="C475" s="64"/>
      <c r="D475" s="64"/>
      <c r="E475" s="64"/>
      <c r="G475" s="68"/>
      <c r="H475" s="67"/>
      <c r="I475" s="64"/>
      <c r="J475" s="64"/>
      <c r="K475" s="64"/>
      <c r="L475" s="64"/>
      <c r="M475" s="64"/>
      <c r="N475" s="64"/>
      <c r="O475" s="64"/>
      <c r="P475" s="64"/>
      <c r="Q475" s="64"/>
      <c r="R475" s="64"/>
      <c r="S475" s="68"/>
      <c r="T475" s="64"/>
      <c r="U475" s="64"/>
      <c r="V475" s="64"/>
      <c r="W475" s="64"/>
      <c r="X475" s="64"/>
      <c r="Y475" s="64"/>
      <c r="Z475" s="64"/>
      <c r="AA475" s="64"/>
      <c r="AB475" s="64"/>
      <c r="AC475" s="68"/>
      <c r="AD475" s="64"/>
    </row>
    <row r="476" ht="15.75" customHeight="1">
      <c r="A476" s="64"/>
      <c r="B476" s="64"/>
      <c r="C476" s="64"/>
      <c r="D476" s="64"/>
      <c r="E476" s="64"/>
      <c r="G476" s="68"/>
      <c r="H476" s="67"/>
      <c r="I476" s="64"/>
      <c r="J476" s="64"/>
      <c r="K476" s="64"/>
      <c r="L476" s="64"/>
      <c r="M476" s="64"/>
      <c r="N476" s="64"/>
      <c r="O476" s="64"/>
      <c r="P476" s="64"/>
      <c r="Q476" s="64"/>
      <c r="R476" s="64"/>
      <c r="S476" s="68"/>
      <c r="T476" s="64"/>
      <c r="U476" s="64"/>
      <c r="V476" s="64"/>
      <c r="W476" s="64"/>
      <c r="X476" s="64"/>
      <c r="Y476" s="64"/>
      <c r="Z476" s="64"/>
      <c r="AA476" s="64"/>
      <c r="AB476" s="64"/>
      <c r="AC476" s="68"/>
      <c r="AD476" s="64"/>
    </row>
    <row r="477" ht="15.75" customHeight="1">
      <c r="A477" s="64"/>
      <c r="B477" s="64"/>
      <c r="C477" s="64"/>
      <c r="D477" s="64"/>
      <c r="E477" s="64"/>
      <c r="G477" s="68"/>
      <c r="H477" s="67"/>
      <c r="I477" s="64"/>
      <c r="J477" s="64"/>
      <c r="K477" s="64"/>
      <c r="L477" s="64"/>
      <c r="M477" s="64"/>
      <c r="N477" s="64"/>
      <c r="O477" s="64"/>
      <c r="P477" s="64"/>
      <c r="Q477" s="64"/>
      <c r="R477" s="64"/>
      <c r="S477" s="68"/>
      <c r="T477" s="64"/>
      <c r="U477" s="64"/>
      <c r="V477" s="64"/>
      <c r="W477" s="64"/>
      <c r="X477" s="64"/>
      <c r="Y477" s="64"/>
      <c r="Z477" s="64"/>
      <c r="AA477" s="64"/>
      <c r="AB477" s="64"/>
      <c r="AC477" s="68"/>
      <c r="AD477" s="64"/>
    </row>
    <row r="478" ht="15.75" customHeight="1">
      <c r="A478" s="64"/>
      <c r="B478" s="64"/>
      <c r="C478" s="64"/>
      <c r="D478" s="64"/>
      <c r="E478" s="64"/>
      <c r="G478" s="68"/>
      <c r="H478" s="67"/>
      <c r="I478" s="64"/>
      <c r="J478" s="64"/>
      <c r="K478" s="64"/>
      <c r="L478" s="64"/>
      <c r="M478" s="64"/>
      <c r="N478" s="64"/>
      <c r="O478" s="64"/>
      <c r="P478" s="64"/>
      <c r="Q478" s="64"/>
      <c r="R478" s="64"/>
      <c r="S478" s="68"/>
      <c r="T478" s="64"/>
      <c r="U478" s="64"/>
      <c r="V478" s="64"/>
      <c r="W478" s="64"/>
      <c r="X478" s="64"/>
      <c r="Y478" s="64"/>
      <c r="Z478" s="64"/>
      <c r="AA478" s="64"/>
      <c r="AB478" s="64"/>
      <c r="AC478" s="68"/>
      <c r="AD478" s="64"/>
    </row>
    <row r="479" ht="15.75" customHeight="1">
      <c r="A479" s="64"/>
      <c r="B479" s="64"/>
      <c r="C479" s="64"/>
      <c r="D479" s="64"/>
      <c r="E479" s="64"/>
      <c r="G479" s="68"/>
      <c r="H479" s="67"/>
      <c r="I479" s="64"/>
      <c r="J479" s="64"/>
      <c r="K479" s="64"/>
      <c r="L479" s="64"/>
      <c r="M479" s="64"/>
      <c r="N479" s="64"/>
      <c r="O479" s="64"/>
      <c r="P479" s="64"/>
      <c r="Q479" s="64"/>
      <c r="R479" s="64"/>
      <c r="S479" s="68"/>
      <c r="T479" s="64"/>
      <c r="U479" s="64"/>
      <c r="V479" s="64"/>
      <c r="W479" s="64"/>
      <c r="X479" s="64"/>
      <c r="Y479" s="64"/>
      <c r="Z479" s="64"/>
      <c r="AA479" s="64"/>
      <c r="AB479" s="64"/>
      <c r="AC479" s="68"/>
      <c r="AD479" s="64"/>
    </row>
    <row r="480" ht="15.75" customHeight="1">
      <c r="A480" s="64"/>
      <c r="B480" s="64"/>
      <c r="C480" s="64"/>
      <c r="D480" s="64"/>
      <c r="E480" s="64"/>
      <c r="G480" s="68"/>
      <c r="H480" s="67"/>
      <c r="I480" s="64"/>
      <c r="J480" s="64"/>
      <c r="K480" s="64"/>
      <c r="L480" s="64"/>
      <c r="M480" s="64"/>
      <c r="N480" s="64"/>
      <c r="O480" s="64"/>
      <c r="P480" s="64"/>
      <c r="Q480" s="64"/>
      <c r="R480" s="64"/>
      <c r="S480" s="68"/>
      <c r="T480" s="64"/>
      <c r="U480" s="64"/>
      <c r="V480" s="64"/>
      <c r="W480" s="64"/>
      <c r="X480" s="64"/>
      <c r="Y480" s="64"/>
      <c r="Z480" s="64"/>
      <c r="AA480" s="64"/>
      <c r="AB480" s="64"/>
      <c r="AC480" s="68"/>
      <c r="AD480" s="64"/>
    </row>
    <row r="481" ht="15.75" customHeight="1">
      <c r="A481" s="64"/>
      <c r="B481" s="64"/>
      <c r="C481" s="64"/>
      <c r="D481" s="64"/>
      <c r="E481" s="64"/>
      <c r="G481" s="68"/>
      <c r="H481" s="67"/>
      <c r="I481" s="64"/>
      <c r="J481" s="64"/>
      <c r="K481" s="64"/>
      <c r="L481" s="64"/>
      <c r="M481" s="64"/>
      <c r="N481" s="64"/>
      <c r="O481" s="64"/>
      <c r="P481" s="64"/>
      <c r="Q481" s="64"/>
      <c r="R481" s="64"/>
      <c r="S481" s="68"/>
      <c r="T481" s="64"/>
      <c r="U481" s="64"/>
      <c r="V481" s="64"/>
      <c r="W481" s="64"/>
      <c r="X481" s="64"/>
      <c r="Y481" s="64"/>
      <c r="Z481" s="64"/>
      <c r="AA481" s="64"/>
      <c r="AB481" s="64"/>
      <c r="AC481" s="68"/>
      <c r="AD481" s="64"/>
    </row>
    <row r="482" ht="15.75" customHeight="1">
      <c r="A482" s="64"/>
      <c r="B482" s="64"/>
      <c r="C482" s="64"/>
      <c r="D482" s="64"/>
      <c r="E482" s="64"/>
      <c r="G482" s="68"/>
      <c r="H482" s="67"/>
      <c r="I482" s="64"/>
      <c r="J482" s="64"/>
      <c r="K482" s="64"/>
      <c r="L482" s="64"/>
      <c r="M482" s="64"/>
      <c r="N482" s="64"/>
      <c r="O482" s="64"/>
      <c r="P482" s="64"/>
      <c r="Q482" s="64"/>
      <c r="R482" s="64"/>
      <c r="S482" s="68"/>
      <c r="T482" s="64"/>
      <c r="U482" s="64"/>
      <c r="V482" s="64"/>
      <c r="W482" s="64"/>
      <c r="X482" s="64"/>
      <c r="Y482" s="64"/>
      <c r="Z482" s="64"/>
      <c r="AA482" s="64"/>
      <c r="AB482" s="64"/>
      <c r="AC482" s="68"/>
      <c r="AD482" s="64"/>
    </row>
    <row r="483" ht="15.75" customHeight="1">
      <c r="A483" s="64"/>
      <c r="B483" s="64"/>
      <c r="C483" s="64"/>
      <c r="D483" s="64"/>
      <c r="E483" s="64"/>
      <c r="G483" s="68"/>
      <c r="H483" s="67"/>
      <c r="I483" s="64"/>
      <c r="J483" s="64"/>
      <c r="K483" s="64"/>
      <c r="L483" s="64"/>
      <c r="M483" s="64"/>
      <c r="N483" s="64"/>
      <c r="O483" s="64"/>
      <c r="P483" s="64"/>
      <c r="Q483" s="64"/>
      <c r="R483" s="64"/>
      <c r="S483" s="68"/>
      <c r="T483" s="64"/>
      <c r="U483" s="64"/>
      <c r="V483" s="64"/>
      <c r="W483" s="64"/>
      <c r="X483" s="64"/>
      <c r="Y483" s="64"/>
      <c r="Z483" s="64"/>
      <c r="AA483" s="64"/>
      <c r="AB483" s="64"/>
      <c r="AC483" s="68"/>
      <c r="AD483" s="64"/>
    </row>
    <row r="484" ht="15.75" customHeight="1">
      <c r="A484" s="64"/>
      <c r="B484" s="64"/>
      <c r="C484" s="64"/>
      <c r="D484" s="64"/>
      <c r="E484" s="64"/>
      <c r="G484" s="68"/>
      <c r="H484" s="67"/>
      <c r="I484" s="64"/>
      <c r="J484" s="64"/>
      <c r="K484" s="64"/>
      <c r="L484" s="64"/>
      <c r="M484" s="64"/>
      <c r="N484" s="64"/>
      <c r="O484" s="64"/>
      <c r="P484" s="64"/>
      <c r="Q484" s="64"/>
      <c r="R484" s="64"/>
      <c r="S484" s="68"/>
      <c r="T484" s="64"/>
      <c r="U484" s="64"/>
      <c r="V484" s="64"/>
      <c r="W484" s="64"/>
      <c r="X484" s="64"/>
      <c r="Y484" s="64"/>
      <c r="Z484" s="64"/>
      <c r="AA484" s="64"/>
      <c r="AB484" s="64"/>
      <c r="AC484" s="68"/>
      <c r="AD484" s="64"/>
    </row>
    <row r="485" ht="15.75" customHeight="1">
      <c r="A485" s="64"/>
      <c r="B485" s="64"/>
      <c r="C485" s="64"/>
      <c r="D485" s="64"/>
      <c r="E485" s="64"/>
      <c r="G485" s="68"/>
      <c r="H485" s="67"/>
      <c r="I485" s="64"/>
      <c r="J485" s="64"/>
      <c r="K485" s="64"/>
      <c r="L485" s="64"/>
      <c r="M485" s="64"/>
      <c r="N485" s="64"/>
      <c r="O485" s="64"/>
      <c r="P485" s="64"/>
      <c r="Q485" s="64"/>
      <c r="R485" s="64"/>
      <c r="S485" s="68"/>
      <c r="T485" s="64"/>
      <c r="U485" s="64"/>
      <c r="V485" s="64"/>
      <c r="W485" s="64"/>
      <c r="X485" s="64"/>
      <c r="Y485" s="64"/>
      <c r="Z485" s="64"/>
      <c r="AA485" s="64"/>
      <c r="AB485" s="64"/>
      <c r="AC485" s="68"/>
      <c r="AD485" s="64"/>
    </row>
    <row r="486" ht="15.75" customHeight="1">
      <c r="A486" s="64"/>
      <c r="B486" s="64"/>
      <c r="C486" s="64"/>
      <c r="D486" s="64"/>
      <c r="E486" s="64"/>
      <c r="G486" s="68"/>
      <c r="H486" s="67"/>
      <c r="I486" s="64"/>
      <c r="J486" s="64"/>
      <c r="K486" s="64"/>
      <c r="L486" s="64"/>
      <c r="M486" s="64"/>
      <c r="N486" s="64"/>
      <c r="O486" s="64"/>
      <c r="P486" s="64"/>
      <c r="Q486" s="64"/>
      <c r="R486" s="64"/>
      <c r="S486" s="68"/>
      <c r="T486" s="64"/>
      <c r="U486" s="64"/>
      <c r="V486" s="64"/>
      <c r="W486" s="64"/>
      <c r="X486" s="64"/>
      <c r="Y486" s="64"/>
      <c r="Z486" s="64"/>
      <c r="AA486" s="64"/>
      <c r="AB486" s="64"/>
      <c r="AC486" s="68"/>
      <c r="AD486" s="64"/>
    </row>
    <row r="487" ht="15.75" customHeight="1">
      <c r="A487" s="64"/>
      <c r="B487" s="64"/>
      <c r="C487" s="64"/>
      <c r="D487" s="64"/>
      <c r="E487" s="64"/>
      <c r="G487" s="68"/>
      <c r="H487" s="67"/>
      <c r="I487" s="64"/>
      <c r="J487" s="64"/>
      <c r="K487" s="64"/>
      <c r="L487" s="64"/>
      <c r="M487" s="64"/>
      <c r="N487" s="64"/>
      <c r="O487" s="64"/>
      <c r="P487" s="64"/>
      <c r="Q487" s="64"/>
      <c r="R487" s="64"/>
      <c r="S487" s="68"/>
      <c r="T487" s="64"/>
      <c r="U487" s="64"/>
      <c r="V487" s="64"/>
      <c r="W487" s="64"/>
      <c r="X487" s="64"/>
      <c r="Y487" s="64"/>
      <c r="Z487" s="64"/>
      <c r="AA487" s="64"/>
      <c r="AB487" s="64"/>
      <c r="AC487" s="68"/>
      <c r="AD487" s="64"/>
    </row>
    <row r="488" ht="15.75" customHeight="1">
      <c r="A488" s="64"/>
      <c r="B488" s="64"/>
      <c r="C488" s="64"/>
      <c r="D488" s="64"/>
      <c r="E488" s="64"/>
      <c r="G488" s="68"/>
      <c r="H488" s="67"/>
      <c r="I488" s="64"/>
      <c r="J488" s="64"/>
      <c r="K488" s="64"/>
      <c r="L488" s="64"/>
      <c r="M488" s="64"/>
      <c r="N488" s="64"/>
      <c r="O488" s="64"/>
      <c r="P488" s="64"/>
      <c r="Q488" s="64"/>
      <c r="R488" s="64"/>
      <c r="S488" s="68"/>
      <c r="T488" s="64"/>
      <c r="U488" s="64"/>
      <c r="V488" s="64"/>
      <c r="W488" s="64"/>
      <c r="X488" s="64"/>
      <c r="Y488" s="64"/>
      <c r="Z488" s="64"/>
      <c r="AA488" s="64"/>
      <c r="AB488" s="64"/>
      <c r="AC488" s="68"/>
      <c r="AD488" s="64"/>
    </row>
    <row r="489" ht="15.75" customHeight="1">
      <c r="A489" s="64"/>
      <c r="B489" s="64"/>
      <c r="C489" s="64"/>
      <c r="D489" s="64"/>
      <c r="E489" s="64"/>
      <c r="G489" s="68"/>
      <c r="H489" s="67"/>
      <c r="I489" s="64"/>
      <c r="J489" s="64"/>
      <c r="K489" s="64"/>
      <c r="L489" s="64"/>
      <c r="M489" s="64"/>
      <c r="N489" s="64"/>
      <c r="O489" s="64"/>
      <c r="P489" s="64"/>
      <c r="Q489" s="64"/>
      <c r="R489" s="64"/>
      <c r="S489" s="68"/>
      <c r="T489" s="64"/>
      <c r="U489" s="64"/>
      <c r="V489" s="64"/>
      <c r="W489" s="64"/>
      <c r="X489" s="64"/>
      <c r="Y489" s="64"/>
      <c r="Z489" s="64"/>
      <c r="AA489" s="64"/>
      <c r="AB489" s="64"/>
      <c r="AC489" s="68"/>
      <c r="AD489" s="64"/>
    </row>
    <row r="490" ht="15.75" customHeight="1">
      <c r="A490" s="64"/>
      <c r="B490" s="64"/>
      <c r="C490" s="64"/>
      <c r="D490" s="64"/>
      <c r="E490" s="64"/>
      <c r="G490" s="68"/>
      <c r="H490" s="67"/>
      <c r="I490" s="64"/>
      <c r="J490" s="64"/>
      <c r="K490" s="64"/>
      <c r="L490" s="64"/>
      <c r="M490" s="64"/>
      <c r="N490" s="64"/>
      <c r="O490" s="64"/>
      <c r="P490" s="64"/>
      <c r="Q490" s="64"/>
      <c r="R490" s="64"/>
      <c r="S490" s="68"/>
      <c r="T490" s="64"/>
      <c r="U490" s="64"/>
      <c r="V490" s="64"/>
      <c r="W490" s="64"/>
      <c r="X490" s="64"/>
      <c r="Y490" s="64"/>
      <c r="Z490" s="64"/>
      <c r="AA490" s="64"/>
      <c r="AB490" s="64"/>
      <c r="AC490" s="68"/>
      <c r="AD490" s="64"/>
    </row>
    <row r="491" ht="15.75" customHeight="1">
      <c r="A491" s="64"/>
      <c r="B491" s="64"/>
      <c r="C491" s="64"/>
      <c r="D491" s="64"/>
      <c r="E491" s="64"/>
      <c r="G491" s="68"/>
      <c r="H491" s="67"/>
      <c r="I491" s="64"/>
      <c r="J491" s="64"/>
      <c r="K491" s="64"/>
      <c r="L491" s="64"/>
      <c r="M491" s="64"/>
      <c r="N491" s="64"/>
      <c r="O491" s="64"/>
      <c r="P491" s="64"/>
      <c r="Q491" s="64"/>
      <c r="R491" s="64"/>
      <c r="S491" s="68"/>
      <c r="T491" s="64"/>
      <c r="U491" s="64"/>
      <c r="V491" s="64"/>
      <c r="W491" s="64"/>
      <c r="X491" s="64"/>
      <c r="Y491" s="64"/>
      <c r="Z491" s="64"/>
      <c r="AA491" s="64"/>
      <c r="AB491" s="64"/>
      <c r="AC491" s="68"/>
      <c r="AD491" s="64"/>
    </row>
    <row r="492" ht="15.75" customHeight="1">
      <c r="A492" s="64"/>
      <c r="B492" s="64"/>
      <c r="C492" s="64"/>
      <c r="D492" s="64"/>
      <c r="E492" s="64"/>
      <c r="G492" s="68"/>
      <c r="H492" s="67"/>
      <c r="I492" s="64"/>
      <c r="J492" s="64"/>
      <c r="K492" s="64"/>
      <c r="L492" s="64"/>
      <c r="M492" s="64"/>
      <c r="N492" s="64"/>
      <c r="O492" s="64"/>
      <c r="P492" s="64"/>
      <c r="Q492" s="64"/>
      <c r="R492" s="64"/>
      <c r="S492" s="68"/>
      <c r="T492" s="64"/>
      <c r="U492" s="64"/>
      <c r="V492" s="64"/>
      <c r="W492" s="64"/>
      <c r="X492" s="64"/>
      <c r="Y492" s="64"/>
      <c r="Z492" s="64"/>
      <c r="AA492" s="64"/>
      <c r="AB492" s="64"/>
      <c r="AC492" s="68"/>
      <c r="AD492" s="64"/>
    </row>
    <row r="493" ht="15.75" customHeight="1">
      <c r="A493" s="64"/>
      <c r="B493" s="64"/>
      <c r="C493" s="64"/>
      <c r="D493" s="64"/>
      <c r="E493" s="64"/>
      <c r="G493" s="68"/>
      <c r="H493" s="67"/>
      <c r="I493" s="64"/>
      <c r="J493" s="64"/>
      <c r="K493" s="64"/>
      <c r="L493" s="64"/>
      <c r="M493" s="64"/>
      <c r="N493" s="64"/>
      <c r="O493" s="64"/>
      <c r="P493" s="64"/>
      <c r="Q493" s="64"/>
      <c r="R493" s="64"/>
      <c r="S493" s="68"/>
      <c r="T493" s="64"/>
      <c r="U493" s="64"/>
      <c r="V493" s="64"/>
      <c r="W493" s="64"/>
      <c r="X493" s="64"/>
      <c r="Y493" s="64"/>
      <c r="Z493" s="64"/>
      <c r="AA493" s="64"/>
      <c r="AB493" s="64"/>
      <c r="AC493" s="68"/>
      <c r="AD493" s="64"/>
    </row>
    <row r="494" ht="15.75" customHeight="1">
      <c r="A494" s="64"/>
      <c r="B494" s="64"/>
      <c r="C494" s="64"/>
      <c r="D494" s="64"/>
      <c r="E494" s="64"/>
      <c r="G494" s="68"/>
      <c r="H494" s="67"/>
      <c r="I494" s="64"/>
      <c r="J494" s="64"/>
      <c r="K494" s="64"/>
      <c r="L494" s="64"/>
      <c r="M494" s="64"/>
      <c r="N494" s="64"/>
      <c r="O494" s="64"/>
      <c r="P494" s="64"/>
      <c r="Q494" s="64"/>
      <c r="R494" s="64"/>
      <c r="S494" s="68"/>
      <c r="T494" s="64"/>
      <c r="U494" s="64"/>
      <c r="V494" s="64"/>
      <c r="W494" s="64"/>
      <c r="X494" s="64"/>
      <c r="Y494" s="64"/>
      <c r="Z494" s="64"/>
      <c r="AA494" s="64"/>
      <c r="AB494" s="64"/>
      <c r="AC494" s="68"/>
      <c r="AD494" s="64"/>
    </row>
    <row r="495" ht="15.75" customHeight="1">
      <c r="A495" s="64"/>
      <c r="B495" s="64"/>
      <c r="C495" s="64"/>
      <c r="D495" s="64"/>
      <c r="E495" s="64"/>
      <c r="G495" s="68"/>
      <c r="H495" s="67"/>
      <c r="I495" s="64"/>
      <c r="J495" s="64"/>
      <c r="K495" s="64"/>
      <c r="L495" s="64"/>
      <c r="M495" s="64"/>
      <c r="N495" s="64"/>
      <c r="O495" s="64"/>
      <c r="P495" s="64"/>
      <c r="Q495" s="64"/>
      <c r="R495" s="64"/>
      <c r="S495" s="68"/>
      <c r="T495" s="64"/>
      <c r="U495" s="64"/>
      <c r="V495" s="64"/>
      <c r="W495" s="64"/>
      <c r="X495" s="64"/>
      <c r="Y495" s="64"/>
      <c r="Z495" s="64"/>
      <c r="AA495" s="64"/>
      <c r="AB495" s="64"/>
      <c r="AC495" s="68"/>
      <c r="AD495" s="64"/>
    </row>
    <row r="496" ht="15.75" customHeight="1">
      <c r="A496" s="64"/>
      <c r="B496" s="64"/>
      <c r="C496" s="64"/>
      <c r="D496" s="64"/>
      <c r="E496" s="64"/>
      <c r="G496" s="68"/>
      <c r="H496" s="67"/>
      <c r="I496" s="64"/>
      <c r="J496" s="64"/>
      <c r="K496" s="64"/>
      <c r="L496" s="64"/>
      <c r="M496" s="64"/>
      <c r="N496" s="64"/>
      <c r="O496" s="64"/>
      <c r="P496" s="64"/>
      <c r="Q496" s="64"/>
      <c r="R496" s="64"/>
      <c r="S496" s="68"/>
      <c r="T496" s="64"/>
      <c r="U496" s="64"/>
      <c r="V496" s="64"/>
      <c r="W496" s="64"/>
      <c r="X496" s="64"/>
      <c r="Y496" s="64"/>
      <c r="Z496" s="64"/>
      <c r="AA496" s="64"/>
      <c r="AB496" s="64"/>
      <c r="AC496" s="68"/>
      <c r="AD496" s="64"/>
    </row>
    <row r="497" ht="15.75" customHeight="1">
      <c r="A497" s="64"/>
      <c r="B497" s="64"/>
      <c r="C497" s="64"/>
      <c r="D497" s="64"/>
      <c r="E497" s="64"/>
      <c r="G497" s="68"/>
      <c r="H497" s="67"/>
      <c r="I497" s="64"/>
      <c r="J497" s="64"/>
      <c r="K497" s="64"/>
      <c r="L497" s="64"/>
      <c r="M497" s="64"/>
      <c r="N497" s="64"/>
      <c r="O497" s="64"/>
      <c r="P497" s="64"/>
      <c r="Q497" s="64"/>
      <c r="R497" s="64"/>
      <c r="S497" s="68"/>
      <c r="T497" s="64"/>
      <c r="U497" s="64"/>
      <c r="V497" s="64"/>
      <c r="W497" s="64"/>
      <c r="X497" s="64"/>
      <c r="Y497" s="64"/>
      <c r="Z497" s="64"/>
      <c r="AA497" s="64"/>
      <c r="AB497" s="64"/>
      <c r="AC497" s="68"/>
      <c r="AD497" s="64"/>
    </row>
    <row r="498" ht="15.75" customHeight="1">
      <c r="A498" s="64"/>
      <c r="B498" s="64"/>
      <c r="C498" s="64"/>
      <c r="D498" s="64"/>
      <c r="E498" s="64"/>
      <c r="G498" s="68"/>
      <c r="H498" s="67"/>
      <c r="I498" s="64"/>
      <c r="J498" s="64"/>
      <c r="K498" s="64"/>
      <c r="L498" s="64"/>
      <c r="M498" s="64"/>
      <c r="N498" s="64"/>
      <c r="O498" s="64"/>
      <c r="P498" s="64"/>
      <c r="Q498" s="64"/>
      <c r="R498" s="64"/>
      <c r="S498" s="68"/>
      <c r="T498" s="64"/>
      <c r="U498" s="64"/>
      <c r="V498" s="64"/>
      <c r="W498" s="64"/>
      <c r="X498" s="64"/>
      <c r="Y498" s="64"/>
      <c r="Z498" s="64"/>
      <c r="AA498" s="64"/>
      <c r="AB498" s="64"/>
      <c r="AC498" s="68"/>
      <c r="AD498" s="64"/>
    </row>
    <row r="499" ht="15.75" customHeight="1">
      <c r="A499" s="64"/>
      <c r="B499" s="64"/>
      <c r="C499" s="64"/>
      <c r="D499" s="64"/>
      <c r="E499" s="64"/>
      <c r="G499" s="68"/>
      <c r="H499" s="67"/>
      <c r="I499" s="64"/>
      <c r="J499" s="64"/>
      <c r="K499" s="64"/>
      <c r="L499" s="64"/>
      <c r="M499" s="64"/>
      <c r="N499" s="64"/>
      <c r="O499" s="64"/>
      <c r="P499" s="64"/>
      <c r="Q499" s="64"/>
      <c r="R499" s="64"/>
      <c r="S499" s="68"/>
      <c r="T499" s="64"/>
      <c r="U499" s="64"/>
      <c r="V499" s="64"/>
      <c r="W499" s="64"/>
      <c r="X499" s="64"/>
      <c r="Y499" s="64"/>
      <c r="Z499" s="64"/>
      <c r="AA499" s="64"/>
      <c r="AB499" s="64"/>
      <c r="AC499" s="68"/>
      <c r="AD499" s="64"/>
    </row>
    <row r="500" ht="15.75" customHeight="1">
      <c r="A500" s="64"/>
      <c r="B500" s="64"/>
      <c r="C500" s="64"/>
      <c r="D500" s="64"/>
      <c r="E500" s="64"/>
      <c r="G500" s="68"/>
      <c r="H500" s="67"/>
      <c r="I500" s="64"/>
      <c r="J500" s="64"/>
      <c r="K500" s="64"/>
      <c r="L500" s="64"/>
      <c r="M500" s="64"/>
      <c r="N500" s="64"/>
      <c r="O500" s="64"/>
      <c r="P500" s="64"/>
      <c r="Q500" s="64"/>
      <c r="R500" s="64"/>
      <c r="S500" s="68"/>
      <c r="T500" s="64"/>
      <c r="U500" s="64"/>
      <c r="V500" s="64"/>
      <c r="W500" s="64"/>
      <c r="X500" s="64"/>
      <c r="Y500" s="64"/>
      <c r="Z500" s="64"/>
      <c r="AA500" s="64"/>
      <c r="AB500" s="64"/>
      <c r="AC500" s="68"/>
      <c r="AD500" s="64"/>
    </row>
    <row r="501" ht="15.75" customHeight="1">
      <c r="A501" s="64"/>
      <c r="B501" s="64"/>
      <c r="C501" s="64"/>
      <c r="D501" s="64"/>
      <c r="E501" s="64"/>
      <c r="G501" s="68"/>
      <c r="H501" s="67"/>
      <c r="I501" s="64"/>
      <c r="J501" s="64"/>
      <c r="K501" s="64"/>
      <c r="L501" s="64"/>
      <c r="M501" s="64"/>
      <c r="N501" s="64"/>
      <c r="O501" s="64"/>
      <c r="P501" s="64"/>
      <c r="Q501" s="64"/>
      <c r="R501" s="64"/>
      <c r="S501" s="68"/>
      <c r="T501" s="64"/>
      <c r="U501" s="64"/>
      <c r="V501" s="64"/>
      <c r="W501" s="64"/>
      <c r="X501" s="64"/>
      <c r="Y501" s="64"/>
      <c r="Z501" s="64"/>
      <c r="AA501" s="64"/>
      <c r="AB501" s="64"/>
      <c r="AC501" s="68"/>
      <c r="AD501" s="64"/>
    </row>
    <row r="502" ht="15.75" customHeight="1">
      <c r="A502" s="64"/>
      <c r="B502" s="64"/>
      <c r="C502" s="64"/>
      <c r="D502" s="64"/>
      <c r="E502" s="64"/>
      <c r="G502" s="68"/>
      <c r="H502" s="67"/>
      <c r="I502" s="64"/>
      <c r="J502" s="64"/>
      <c r="K502" s="64"/>
      <c r="L502" s="64"/>
      <c r="M502" s="64"/>
      <c r="N502" s="64"/>
      <c r="O502" s="64"/>
      <c r="P502" s="64"/>
      <c r="Q502" s="64"/>
      <c r="R502" s="64"/>
      <c r="S502" s="68"/>
      <c r="T502" s="64"/>
      <c r="U502" s="64"/>
      <c r="V502" s="64"/>
      <c r="W502" s="64"/>
      <c r="X502" s="64"/>
      <c r="Y502" s="64"/>
      <c r="Z502" s="64"/>
      <c r="AA502" s="64"/>
      <c r="AB502" s="64"/>
      <c r="AC502" s="68"/>
      <c r="AD502" s="64"/>
    </row>
    <row r="503" ht="15.75" customHeight="1">
      <c r="A503" s="64"/>
      <c r="B503" s="64"/>
      <c r="C503" s="64"/>
      <c r="D503" s="64"/>
      <c r="E503" s="64"/>
      <c r="G503" s="68"/>
      <c r="H503" s="67"/>
      <c r="I503" s="64"/>
      <c r="J503" s="64"/>
      <c r="K503" s="64"/>
      <c r="L503" s="64"/>
      <c r="M503" s="64"/>
      <c r="N503" s="64"/>
      <c r="O503" s="64"/>
      <c r="P503" s="64"/>
      <c r="Q503" s="64"/>
      <c r="R503" s="64"/>
      <c r="S503" s="68"/>
      <c r="T503" s="64"/>
      <c r="U503" s="64"/>
      <c r="V503" s="64"/>
      <c r="W503" s="64"/>
      <c r="X503" s="64"/>
      <c r="Y503" s="64"/>
      <c r="Z503" s="64"/>
      <c r="AA503" s="64"/>
      <c r="AB503" s="64"/>
      <c r="AC503" s="68"/>
      <c r="AD503" s="64"/>
    </row>
    <row r="504" ht="15.75" customHeight="1">
      <c r="A504" s="64"/>
      <c r="B504" s="64"/>
      <c r="C504" s="64"/>
      <c r="D504" s="64"/>
      <c r="E504" s="64"/>
      <c r="G504" s="68"/>
      <c r="H504" s="67"/>
      <c r="I504" s="64"/>
      <c r="J504" s="64"/>
      <c r="K504" s="64"/>
      <c r="L504" s="64"/>
      <c r="M504" s="64"/>
      <c r="N504" s="64"/>
      <c r="O504" s="64"/>
      <c r="P504" s="64"/>
      <c r="Q504" s="64"/>
      <c r="R504" s="64"/>
      <c r="S504" s="68"/>
      <c r="T504" s="64"/>
      <c r="U504" s="64"/>
      <c r="V504" s="64"/>
      <c r="W504" s="64"/>
      <c r="X504" s="64"/>
      <c r="Y504" s="64"/>
      <c r="Z504" s="64"/>
      <c r="AA504" s="64"/>
      <c r="AB504" s="64"/>
      <c r="AC504" s="68"/>
      <c r="AD504" s="64"/>
    </row>
    <row r="505" ht="15.75" customHeight="1">
      <c r="A505" s="64"/>
      <c r="B505" s="64"/>
      <c r="C505" s="64"/>
      <c r="D505" s="64"/>
      <c r="E505" s="64"/>
      <c r="G505" s="68"/>
      <c r="H505" s="67"/>
      <c r="I505" s="64"/>
      <c r="J505" s="64"/>
      <c r="K505" s="64"/>
      <c r="L505" s="64"/>
      <c r="M505" s="64"/>
      <c r="N505" s="64"/>
      <c r="O505" s="64"/>
      <c r="P505" s="64"/>
      <c r="Q505" s="64"/>
      <c r="R505" s="64"/>
      <c r="S505" s="68"/>
      <c r="T505" s="64"/>
      <c r="U505" s="64"/>
      <c r="V505" s="64"/>
      <c r="W505" s="64"/>
      <c r="X505" s="64"/>
      <c r="Y505" s="64"/>
      <c r="Z505" s="64"/>
      <c r="AA505" s="64"/>
      <c r="AB505" s="64"/>
      <c r="AC505" s="68"/>
      <c r="AD505" s="64"/>
    </row>
    <row r="506" ht="15.75" customHeight="1">
      <c r="A506" s="64"/>
      <c r="B506" s="64"/>
      <c r="C506" s="64"/>
      <c r="D506" s="64"/>
      <c r="E506" s="64"/>
      <c r="G506" s="68"/>
      <c r="H506" s="67"/>
      <c r="I506" s="64"/>
      <c r="J506" s="64"/>
      <c r="K506" s="64"/>
      <c r="L506" s="64"/>
      <c r="M506" s="64"/>
      <c r="N506" s="64"/>
      <c r="O506" s="64"/>
      <c r="P506" s="64"/>
      <c r="Q506" s="64"/>
      <c r="R506" s="64"/>
      <c r="S506" s="68"/>
      <c r="T506" s="64"/>
      <c r="U506" s="64"/>
      <c r="V506" s="64"/>
      <c r="W506" s="64"/>
      <c r="X506" s="64"/>
      <c r="Y506" s="64"/>
      <c r="Z506" s="64"/>
      <c r="AA506" s="64"/>
      <c r="AB506" s="64"/>
      <c r="AC506" s="68"/>
      <c r="AD506" s="64"/>
    </row>
    <row r="507" ht="15.75" customHeight="1">
      <c r="A507" s="64"/>
      <c r="B507" s="64"/>
      <c r="C507" s="64"/>
      <c r="D507" s="64"/>
      <c r="E507" s="64"/>
      <c r="G507" s="68"/>
      <c r="H507" s="67"/>
      <c r="I507" s="64"/>
      <c r="J507" s="64"/>
      <c r="K507" s="64"/>
      <c r="L507" s="64"/>
      <c r="M507" s="64"/>
      <c r="N507" s="64"/>
      <c r="O507" s="64"/>
      <c r="P507" s="64"/>
      <c r="Q507" s="64"/>
      <c r="R507" s="64"/>
      <c r="S507" s="68"/>
      <c r="T507" s="64"/>
      <c r="U507" s="64"/>
      <c r="V507" s="64"/>
      <c r="W507" s="64"/>
      <c r="X507" s="64"/>
      <c r="Y507" s="64"/>
      <c r="Z507" s="64"/>
      <c r="AA507" s="64"/>
      <c r="AB507" s="64"/>
      <c r="AC507" s="68"/>
      <c r="AD507" s="64"/>
    </row>
    <row r="508" ht="15.75" customHeight="1">
      <c r="A508" s="64"/>
      <c r="B508" s="64"/>
      <c r="C508" s="64"/>
      <c r="D508" s="64"/>
      <c r="E508" s="64"/>
      <c r="G508" s="68"/>
      <c r="H508" s="67"/>
      <c r="I508" s="64"/>
      <c r="J508" s="64"/>
      <c r="K508" s="64"/>
      <c r="L508" s="64"/>
      <c r="M508" s="64"/>
      <c r="N508" s="64"/>
      <c r="O508" s="64"/>
      <c r="P508" s="64"/>
      <c r="Q508" s="64"/>
      <c r="R508" s="64"/>
      <c r="S508" s="68"/>
      <c r="T508" s="64"/>
      <c r="U508" s="64"/>
      <c r="V508" s="64"/>
      <c r="W508" s="64"/>
      <c r="X508" s="64"/>
      <c r="Y508" s="64"/>
      <c r="Z508" s="64"/>
      <c r="AA508" s="64"/>
      <c r="AB508" s="64"/>
      <c r="AC508" s="68"/>
      <c r="AD508" s="64"/>
    </row>
    <row r="509" ht="15.75" customHeight="1">
      <c r="A509" s="64"/>
      <c r="B509" s="64"/>
      <c r="C509" s="64"/>
      <c r="D509" s="64"/>
      <c r="E509" s="64"/>
      <c r="G509" s="68"/>
      <c r="H509" s="67"/>
      <c r="I509" s="64"/>
      <c r="J509" s="64"/>
      <c r="K509" s="64"/>
      <c r="L509" s="64"/>
      <c r="M509" s="64"/>
      <c r="N509" s="64"/>
      <c r="O509" s="64"/>
      <c r="P509" s="64"/>
      <c r="Q509" s="64"/>
      <c r="R509" s="64"/>
      <c r="S509" s="68"/>
      <c r="T509" s="64"/>
      <c r="U509" s="64"/>
      <c r="V509" s="64"/>
      <c r="W509" s="64"/>
      <c r="X509" s="64"/>
      <c r="Y509" s="64"/>
      <c r="Z509" s="64"/>
      <c r="AA509" s="64"/>
      <c r="AB509" s="64"/>
      <c r="AC509" s="68"/>
      <c r="AD509" s="64"/>
    </row>
    <row r="510" ht="15.75" customHeight="1">
      <c r="A510" s="64"/>
      <c r="B510" s="64"/>
      <c r="C510" s="64"/>
      <c r="D510" s="64"/>
      <c r="E510" s="64"/>
      <c r="G510" s="68"/>
      <c r="H510" s="67"/>
      <c r="I510" s="64"/>
      <c r="J510" s="64"/>
      <c r="K510" s="64"/>
      <c r="L510" s="64"/>
      <c r="M510" s="64"/>
      <c r="N510" s="64"/>
      <c r="O510" s="64"/>
      <c r="P510" s="64"/>
      <c r="Q510" s="64"/>
      <c r="R510" s="64"/>
      <c r="S510" s="68"/>
      <c r="T510" s="64"/>
      <c r="U510" s="64"/>
      <c r="V510" s="64"/>
      <c r="W510" s="64"/>
      <c r="X510" s="64"/>
      <c r="Y510" s="64"/>
      <c r="Z510" s="64"/>
      <c r="AA510" s="64"/>
      <c r="AB510" s="64"/>
      <c r="AC510" s="68"/>
      <c r="AD510" s="64"/>
    </row>
    <row r="511" ht="15.75" customHeight="1">
      <c r="A511" s="64"/>
      <c r="B511" s="64"/>
      <c r="C511" s="64"/>
      <c r="D511" s="64"/>
      <c r="E511" s="64"/>
      <c r="G511" s="68"/>
      <c r="H511" s="67"/>
      <c r="I511" s="64"/>
      <c r="J511" s="64"/>
      <c r="K511" s="64"/>
      <c r="L511" s="64"/>
      <c r="M511" s="64"/>
      <c r="N511" s="64"/>
      <c r="O511" s="64"/>
      <c r="P511" s="64"/>
      <c r="Q511" s="64"/>
      <c r="R511" s="64"/>
      <c r="S511" s="68"/>
      <c r="T511" s="64"/>
      <c r="U511" s="64"/>
      <c r="V511" s="64"/>
      <c r="W511" s="64"/>
      <c r="X511" s="64"/>
      <c r="Y511" s="64"/>
      <c r="Z511" s="64"/>
      <c r="AA511" s="64"/>
      <c r="AB511" s="64"/>
      <c r="AC511" s="68"/>
      <c r="AD511" s="64"/>
    </row>
    <row r="512" ht="15.75" customHeight="1">
      <c r="A512" s="64"/>
      <c r="B512" s="64"/>
      <c r="C512" s="64"/>
      <c r="D512" s="64"/>
      <c r="E512" s="64"/>
      <c r="G512" s="68"/>
      <c r="H512" s="67"/>
      <c r="I512" s="64"/>
      <c r="J512" s="64"/>
      <c r="K512" s="64"/>
      <c r="L512" s="64"/>
      <c r="M512" s="64"/>
      <c r="N512" s="64"/>
      <c r="O512" s="64"/>
      <c r="P512" s="64"/>
      <c r="Q512" s="64"/>
      <c r="R512" s="64"/>
      <c r="S512" s="68"/>
      <c r="T512" s="64"/>
      <c r="U512" s="64"/>
      <c r="V512" s="64"/>
      <c r="W512" s="64"/>
      <c r="X512" s="64"/>
      <c r="Y512" s="64"/>
      <c r="Z512" s="64"/>
      <c r="AA512" s="64"/>
      <c r="AB512" s="64"/>
      <c r="AC512" s="68"/>
      <c r="AD512" s="64"/>
    </row>
    <row r="513" ht="15.75" customHeight="1">
      <c r="A513" s="64"/>
      <c r="B513" s="64"/>
      <c r="C513" s="64"/>
      <c r="D513" s="64"/>
      <c r="E513" s="64"/>
      <c r="G513" s="68"/>
      <c r="H513" s="67"/>
      <c r="I513" s="64"/>
      <c r="J513" s="64"/>
      <c r="K513" s="64"/>
      <c r="L513" s="64"/>
      <c r="M513" s="64"/>
      <c r="N513" s="64"/>
      <c r="O513" s="64"/>
      <c r="P513" s="64"/>
      <c r="Q513" s="64"/>
      <c r="R513" s="64"/>
      <c r="S513" s="68"/>
      <c r="T513" s="64"/>
      <c r="U513" s="64"/>
      <c r="V513" s="64"/>
      <c r="W513" s="64"/>
      <c r="X513" s="64"/>
      <c r="Y513" s="64"/>
      <c r="Z513" s="64"/>
      <c r="AA513" s="64"/>
      <c r="AB513" s="64"/>
      <c r="AC513" s="68"/>
      <c r="AD513" s="64"/>
    </row>
    <row r="514" ht="15.75" customHeight="1">
      <c r="A514" s="64"/>
      <c r="B514" s="64"/>
      <c r="C514" s="64"/>
      <c r="D514" s="64"/>
      <c r="E514" s="64"/>
      <c r="G514" s="68"/>
      <c r="H514" s="67"/>
      <c r="I514" s="64"/>
      <c r="J514" s="64"/>
      <c r="K514" s="64"/>
      <c r="L514" s="64"/>
      <c r="M514" s="64"/>
      <c r="N514" s="64"/>
      <c r="O514" s="64"/>
      <c r="P514" s="64"/>
      <c r="Q514" s="64"/>
      <c r="R514" s="64"/>
      <c r="S514" s="68"/>
      <c r="T514" s="64"/>
      <c r="U514" s="64"/>
      <c r="V514" s="64"/>
      <c r="W514" s="64"/>
      <c r="X514" s="64"/>
      <c r="Y514" s="64"/>
      <c r="Z514" s="64"/>
      <c r="AA514" s="64"/>
      <c r="AB514" s="64"/>
      <c r="AC514" s="68"/>
      <c r="AD514" s="64"/>
    </row>
    <row r="515" ht="15.75" customHeight="1">
      <c r="A515" s="64"/>
      <c r="B515" s="64"/>
      <c r="C515" s="64"/>
      <c r="D515" s="64"/>
      <c r="E515" s="64"/>
      <c r="G515" s="68"/>
      <c r="H515" s="67"/>
      <c r="I515" s="64"/>
      <c r="J515" s="64"/>
      <c r="K515" s="64"/>
      <c r="L515" s="64"/>
      <c r="M515" s="64"/>
      <c r="N515" s="64"/>
      <c r="O515" s="64"/>
      <c r="P515" s="64"/>
      <c r="Q515" s="64"/>
      <c r="R515" s="64"/>
      <c r="S515" s="68"/>
      <c r="T515" s="64"/>
      <c r="U515" s="64"/>
      <c r="V515" s="64"/>
      <c r="W515" s="64"/>
      <c r="X515" s="64"/>
      <c r="Y515" s="64"/>
      <c r="Z515" s="64"/>
      <c r="AA515" s="64"/>
      <c r="AB515" s="64"/>
      <c r="AC515" s="68"/>
      <c r="AD515" s="64"/>
    </row>
    <row r="516" ht="15.75" customHeight="1">
      <c r="A516" s="64"/>
      <c r="B516" s="64"/>
      <c r="C516" s="64"/>
      <c r="D516" s="64"/>
      <c r="E516" s="64"/>
      <c r="G516" s="68"/>
      <c r="H516" s="67"/>
      <c r="I516" s="64"/>
      <c r="J516" s="64"/>
      <c r="K516" s="64"/>
      <c r="L516" s="64"/>
      <c r="M516" s="64"/>
      <c r="N516" s="64"/>
      <c r="O516" s="64"/>
      <c r="P516" s="64"/>
      <c r="Q516" s="64"/>
      <c r="R516" s="64"/>
      <c r="S516" s="68"/>
      <c r="T516" s="64"/>
      <c r="U516" s="64"/>
      <c r="V516" s="64"/>
      <c r="W516" s="64"/>
      <c r="X516" s="64"/>
      <c r="Y516" s="64"/>
      <c r="Z516" s="64"/>
      <c r="AA516" s="64"/>
      <c r="AB516" s="64"/>
      <c r="AC516" s="68"/>
      <c r="AD516" s="64"/>
    </row>
    <row r="517" ht="15.75" customHeight="1">
      <c r="A517" s="64"/>
      <c r="B517" s="64"/>
      <c r="C517" s="64"/>
      <c r="D517" s="64"/>
      <c r="E517" s="64"/>
      <c r="G517" s="68"/>
      <c r="H517" s="67"/>
      <c r="I517" s="64"/>
      <c r="J517" s="64"/>
      <c r="K517" s="64"/>
      <c r="L517" s="64"/>
      <c r="M517" s="64"/>
      <c r="N517" s="64"/>
      <c r="O517" s="64"/>
      <c r="P517" s="64"/>
      <c r="Q517" s="64"/>
      <c r="R517" s="64"/>
      <c r="S517" s="68"/>
      <c r="T517" s="64"/>
      <c r="U517" s="64"/>
      <c r="V517" s="64"/>
      <c r="W517" s="64"/>
      <c r="X517" s="64"/>
      <c r="Y517" s="64"/>
      <c r="Z517" s="64"/>
      <c r="AA517" s="64"/>
      <c r="AB517" s="64"/>
      <c r="AC517" s="68"/>
      <c r="AD517" s="64"/>
    </row>
    <row r="518" ht="15.75" customHeight="1">
      <c r="A518" s="64"/>
      <c r="B518" s="64"/>
      <c r="C518" s="64"/>
      <c r="D518" s="64"/>
      <c r="E518" s="64"/>
      <c r="G518" s="68"/>
      <c r="H518" s="67"/>
      <c r="I518" s="64"/>
      <c r="J518" s="64"/>
      <c r="K518" s="64"/>
      <c r="L518" s="64"/>
      <c r="M518" s="64"/>
      <c r="N518" s="64"/>
      <c r="O518" s="64"/>
      <c r="P518" s="64"/>
      <c r="Q518" s="64"/>
      <c r="R518" s="64"/>
      <c r="S518" s="68"/>
      <c r="T518" s="64"/>
      <c r="U518" s="64"/>
      <c r="V518" s="64"/>
      <c r="W518" s="64"/>
      <c r="X518" s="64"/>
      <c r="Y518" s="64"/>
      <c r="Z518" s="64"/>
      <c r="AA518" s="64"/>
      <c r="AB518" s="64"/>
      <c r="AC518" s="68"/>
      <c r="AD518" s="64"/>
    </row>
    <row r="519" ht="15.75" customHeight="1">
      <c r="A519" s="64"/>
      <c r="B519" s="64"/>
      <c r="C519" s="64"/>
      <c r="D519" s="64"/>
      <c r="E519" s="64"/>
      <c r="G519" s="68"/>
      <c r="H519" s="67"/>
      <c r="I519" s="64"/>
      <c r="J519" s="64"/>
      <c r="K519" s="64"/>
      <c r="L519" s="64"/>
      <c r="M519" s="64"/>
      <c r="N519" s="64"/>
      <c r="O519" s="64"/>
      <c r="P519" s="64"/>
      <c r="Q519" s="64"/>
      <c r="R519" s="64"/>
      <c r="S519" s="68"/>
      <c r="T519" s="64"/>
      <c r="U519" s="64"/>
      <c r="V519" s="64"/>
      <c r="W519" s="64"/>
      <c r="X519" s="64"/>
      <c r="Y519" s="64"/>
      <c r="Z519" s="64"/>
      <c r="AA519" s="64"/>
      <c r="AB519" s="64"/>
      <c r="AC519" s="68"/>
      <c r="AD519" s="64"/>
    </row>
    <row r="520" ht="15.75" customHeight="1">
      <c r="A520" s="64"/>
      <c r="B520" s="64"/>
      <c r="C520" s="64"/>
      <c r="D520" s="64"/>
      <c r="E520" s="64"/>
      <c r="G520" s="68"/>
      <c r="H520" s="67"/>
      <c r="I520" s="64"/>
      <c r="J520" s="64"/>
      <c r="K520" s="64"/>
      <c r="L520" s="64"/>
      <c r="M520" s="64"/>
      <c r="N520" s="64"/>
      <c r="O520" s="64"/>
      <c r="P520" s="64"/>
      <c r="Q520" s="64"/>
      <c r="R520" s="64"/>
      <c r="S520" s="68"/>
      <c r="T520" s="64"/>
      <c r="U520" s="64"/>
      <c r="V520" s="64"/>
      <c r="W520" s="64"/>
      <c r="X520" s="64"/>
      <c r="Y520" s="64"/>
      <c r="Z520" s="64"/>
      <c r="AA520" s="64"/>
      <c r="AB520" s="64"/>
      <c r="AC520" s="68"/>
      <c r="AD520" s="64"/>
    </row>
    <row r="521" ht="15.75" customHeight="1">
      <c r="A521" s="64"/>
      <c r="B521" s="64"/>
      <c r="C521" s="64"/>
      <c r="D521" s="64"/>
      <c r="E521" s="64"/>
      <c r="G521" s="68"/>
      <c r="H521" s="67"/>
      <c r="I521" s="64"/>
      <c r="J521" s="64"/>
      <c r="K521" s="64"/>
      <c r="L521" s="64"/>
      <c r="M521" s="64"/>
      <c r="N521" s="64"/>
      <c r="O521" s="64"/>
      <c r="P521" s="64"/>
      <c r="Q521" s="64"/>
      <c r="R521" s="64"/>
      <c r="S521" s="68"/>
      <c r="T521" s="64"/>
      <c r="U521" s="64"/>
      <c r="V521" s="64"/>
      <c r="W521" s="64"/>
      <c r="X521" s="64"/>
      <c r="Y521" s="64"/>
      <c r="Z521" s="64"/>
      <c r="AA521" s="64"/>
      <c r="AB521" s="64"/>
      <c r="AC521" s="68"/>
      <c r="AD521" s="64"/>
    </row>
    <row r="522" ht="15.75" customHeight="1">
      <c r="A522" s="64"/>
      <c r="B522" s="64"/>
      <c r="C522" s="64"/>
      <c r="D522" s="64"/>
      <c r="E522" s="64"/>
      <c r="G522" s="68"/>
      <c r="H522" s="67"/>
      <c r="I522" s="64"/>
      <c r="J522" s="64"/>
      <c r="K522" s="64"/>
      <c r="L522" s="64"/>
      <c r="M522" s="64"/>
      <c r="N522" s="64"/>
      <c r="O522" s="64"/>
      <c r="P522" s="64"/>
      <c r="Q522" s="64"/>
      <c r="R522" s="64"/>
      <c r="S522" s="68"/>
      <c r="T522" s="64"/>
      <c r="U522" s="64"/>
      <c r="V522" s="64"/>
      <c r="W522" s="64"/>
      <c r="X522" s="64"/>
      <c r="Y522" s="64"/>
      <c r="Z522" s="64"/>
      <c r="AA522" s="64"/>
      <c r="AB522" s="64"/>
      <c r="AC522" s="68"/>
      <c r="AD522" s="64"/>
    </row>
    <row r="523" ht="15.75" customHeight="1">
      <c r="A523" s="64"/>
      <c r="B523" s="64"/>
      <c r="C523" s="64"/>
      <c r="D523" s="64"/>
      <c r="E523" s="64"/>
      <c r="G523" s="68"/>
      <c r="H523" s="67"/>
      <c r="I523" s="64"/>
      <c r="J523" s="64"/>
      <c r="K523" s="64"/>
      <c r="L523" s="64"/>
      <c r="M523" s="64"/>
      <c r="N523" s="64"/>
      <c r="O523" s="64"/>
      <c r="P523" s="64"/>
      <c r="Q523" s="64"/>
      <c r="R523" s="64"/>
      <c r="S523" s="68"/>
      <c r="T523" s="64"/>
      <c r="U523" s="64"/>
      <c r="V523" s="64"/>
      <c r="W523" s="64"/>
      <c r="X523" s="64"/>
      <c r="Y523" s="64"/>
      <c r="Z523" s="64"/>
      <c r="AA523" s="64"/>
      <c r="AB523" s="64"/>
      <c r="AC523" s="68"/>
      <c r="AD523" s="64"/>
    </row>
    <row r="524" ht="15.75" customHeight="1">
      <c r="A524" s="64"/>
      <c r="B524" s="64"/>
      <c r="C524" s="64"/>
      <c r="D524" s="64"/>
      <c r="E524" s="64"/>
      <c r="G524" s="68"/>
      <c r="H524" s="67"/>
      <c r="I524" s="64"/>
      <c r="J524" s="64"/>
      <c r="K524" s="64"/>
      <c r="L524" s="64"/>
      <c r="M524" s="64"/>
      <c r="N524" s="64"/>
      <c r="O524" s="64"/>
      <c r="P524" s="64"/>
      <c r="Q524" s="64"/>
      <c r="R524" s="64"/>
      <c r="S524" s="68"/>
      <c r="T524" s="64"/>
      <c r="U524" s="64"/>
      <c r="V524" s="64"/>
      <c r="W524" s="64"/>
      <c r="X524" s="64"/>
      <c r="Y524" s="64"/>
      <c r="Z524" s="64"/>
      <c r="AA524" s="64"/>
      <c r="AB524" s="64"/>
      <c r="AC524" s="68"/>
      <c r="AD524" s="64"/>
    </row>
    <row r="525" ht="15.75" customHeight="1">
      <c r="A525" s="64"/>
      <c r="B525" s="64"/>
      <c r="C525" s="64"/>
      <c r="D525" s="64"/>
      <c r="E525" s="64"/>
      <c r="G525" s="68"/>
      <c r="H525" s="67"/>
      <c r="I525" s="64"/>
      <c r="J525" s="64"/>
      <c r="K525" s="64"/>
      <c r="L525" s="64"/>
      <c r="M525" s="64"/>
      <c r="N525" s="64"/>
      <c r="O525" s="64"/>
      <c r="P525" s="64"/>
      <c r="Q525" s="64"/>
      <c r="R525" s="64"/>
      <c r="S525" s="68"/>
      <c r="T525" s="64"/>
      <c r="U525" s="64"/>
      <c r="V525" s="64"/>
      <c r="W525" s="64"/>
      <c r="X525" s="64"/>
      <c r="Y525" s="64"/>
      <c r="Z525" s="64"/>
      <c r="AA525" s="64"/>
      <c r="AB525" s="64"/>
      <c r="AC525" s="68"/>
      <c r="AD525" s="64"/>
    </row>
    <row r="526" ht="15.75" customHeight="1">
      <c r="A526" s="64"/>
      <c r="B526" s="64"/>
      <c r="C526" s="64"/>
      <c r="D526" s="64"/>
      <c r="E526" s="64"/>
      <c r="G526" s="68"/>
      <c r="H526" s="67"/>
      <c r="I526" s="64"/>
      <c r="J526" s="64"/>
      <c r="K526" s="64"/>
      <c r="L526" s="64"/>
      <c r="M526" s="64"/>
      <c r="N526" s="64"/>
      <c r="O526" s="64"/>
      <c r="P526" s="64"/>
      <c r="Q526" s="64"/>
      <c r="R526" s="64"/>
      <c r="S526" s="68"/>
      <c r="T526" s="64"/>
      <c r="U526" s="64"/>
      <c r="V526" s="64"/>
      <c r="W526" s="64"/>
      <c r="X526" s="64"/>
      <c r="Y526" s="64"/>
      <c r="Z526" s="64"/>
      <c r="AA526" s="64"/>
      <c r="AB526" s="64"/>
      <c r="AC526" s="68"/>
      <c r="AD526" s="64"/>
    </row>
    <row r="527" ht="15.75" customHeight="1">
      <c r="A527" s="64"/>
      <c r="B527" s="64"/>
      <c r="C527" s="64"/>
      <c r="D527" s="64"/>
      <c r="E527" s="64"/>
      <c r="G527" s="68"/>
      <c r="H527" s="67"/>
      <c r="I527" s="64"/>
      <c r="J527" s="64"/>
      <c r="K527" s="64"/>
      <c r="L527" s="64"/>
      <c r="M527" s="64"/>
      <c r="N527" s="64"/>
      <c r="O527" s="64"/>
      <c r="P527" s="64"/>
      <c r="Q527" s="64"/>
      <c r="R527" s="64"/>
      <c r="S527" s="68"/>
      <c r="T527" s="64"/>
      <c r="U527" s="64"/>
      <c r="V527" s="64"/>
      <c r="W527" s="64"/>
      <c r="X527" s="64"/>
      <c r="Y527" s="64"/>
      <c r="Z527" s="64"/>
      <c r="AA527" s="64"/>
      <c r="AB527" s="64"/>
      <c r="AC527" s="68"/>
      <c r="AD527" s="64"/>
    </row>
    <row r="528" ht="15.75" customHeight="1">
      <c r="A528" s="64"/>
      <c r="B528" s="64"/>
      <c r="C528" s="64"/>
      <c r="D528" s="64"/>
      <c r="E528" s="64"/>
      <c r="G528" s="68"/>
      <c r="H528" s="67"/>
      <c r="I528" s="64"/>
      <c r="J528" s="64"/>
      <c r="K528" s="64"/>
      <c r="L528" s="64"/>
      <c r="M528" s="64"/>
      <c r="N528" s="64"/>
      <c r="O528" s="64"/>
      <c r="P528" s="64"/>
      <c r="Q528" s="64"/>
      <c r="R528" s="64"/>
      <c r="S528" s="68"/>
      <c r="T528" s="64"/>
      <c r="U528" s="64"/>
      <c r="V528" s="64"/>
      <c r="W528" s="64"/>
      <c r="X528" s="64"/>
      <c r="Y528" s="64"/>
      <c r="Z528" s="64"/>
      <c r="AA528" s="64"/>
      <c r="AB528" s="64"/>
      <c r="AC528" s="68"/>
      <c r="AD528" s="64"/>
    </row>
    <row r="529" ht="15.75" customHeight="1">
      <c r="A529" s="64"/>
      <c r="B529" s="64"/>
      <c r="C529" s="64"/>
      <c r="D529" s="64"/>
      <c r="E529" s="64"/>
      <c r="G529" s="68"/>
      <c r="H529" s="67"/>
      <c r="I529" s="64"/>
      <c r="J529" s="64"/>
      <c r="K529" s="64"/>
      <c r="L529" s="64"/>
      <c r="M529" s="64"/>
      <c r="N529" s="64"/>
      <c r="O529" s="64"/>
      <c r="P529" s="64"/>
      <c r="Q529" s="64"/>
      <c r="R529" s="64"/>
      <c r="S529" s="68"/>
      <c r="T529" s="64"/>
      <c r="U529" s="64"/>
      <c r="V529" s="64"/>
      <c r="W529" s="64"/>
      <c r="X529" s="64"/>
      <c r="Y529" s="64"/>
      <c r="Z529" s="64"/>
      <c r="AA529" s="64"/>
      <c r="AB529" s="64"/>
      <c r="AC529" s="68"/>
      <c r="AD529" s="64"/>
    </row>
    <row r="530" ht="15.75" customHeight="1">
      <c r="A530" s="64"/>
      <c r="B530" s="64"/>
      <c r="C530" s="64"/>
      <c r="D530" s="64"/>
      <c r="E530" s="64"/>
      <c r="G530" s="68"/>
      <c r="H530" s="67"/>
      <c r="I530" s="64"/>
      <c r="J530" s="64"/>
      <c r="K530" s="64"/>
      <c r="L530" s="64"/>
      <c r="M530" s="64"/>
      <c r="N530" s="64"/>
      <c r="O530" s="64"/>
      <c r="P530" s="64"/>
      <c r="Q530" s="64"/>
      <c r="R530" s="64"/>
      <c r="S530" s="68"/>
      <c r="T530" s="64"/>
      <c r="U530" s="64"/>
      <c r="V530" s="64"/>
      <c r="W530" s="64"/>
      <c r="X530" s="64"/>
      <c r="Y530" s="64"/>
      <c r="Z530" s="64"/>
      <c r="AA530" s="64"/>
      <c r="AB530" s="64"/>
      <c r="AC530" s="68"/>
      <c r="AD530" s="64"/>
    </row>
    <row r="531" ht="15.75" customHeight="1">
      <c r="A531" s="64"/>
      <c r="B531" s="64"/>
      <c r="C531" s="64"/>
      <c r="D531" s="64"/>
      <c r="E531" s="64"/>
      <c r="G531" s="68"/>
      <c r="H531" s="67"/>
      <c r="I531" s="64"/>
      <c r="J531" s="64"/>
      <c r="K531" s="64"/>
      <c r="L531" s="64"/>
      <c r="M531" s="64"/>
      <c r="N531" s="64"/>
      <c r="O531" s="64"/>
      <c r="P531" s="64"/>
      <c r="Q531" s="64"/>
      <c r="R531" s="64"/>
      <c r="S531" s="68"/>
      <c r="T531" s="64"/>
      <c r="U531" s="64"/>
      <c r="V531" s="64"/>
      <c r="W531" s="64"/>
      <c r="X531" s="64"/>
      <c r="Y531" s="64"/>
      <c r="Z531" s="64"/>
      <c r="AA531" s="64"/>
      <c r="AB531" s="64"/>
      <c r="AC531" s="68"/>
      <c r="AD531" s="64"/>
    </row>
    <row r="532" ht="15.75" customHeight="1">
      <c r="A532" s="64"/>
      <c r="B532" s="64"/>
      <c r="C532" s="64"/>
      <c r="D532" s="64"/>
      <c r="E532" s="64"/>
      <c r="G532" s="68"/>
      <c r="H532" s="67"/>
      <c r="I532" s="64"/>
      <c r="J532" s="64"/>
      <c r="K532" s="64"/>
      <c r="L532" s="64"/>
      <c r="M532" s="64"/>
      <c r="N532" s="64"/>
      <c r="O532" s="64"/>
      <c r="P532" s="64"/>
      <c r="Q532" s="64"/>
      <c r="R532" s="64"/>
      <c r="S532" s="68"/>
      <c r="T532" s="64"/>
      <c r="U532" s="64"/>
      <c r="V532" s="64"/>
      <c r="W532" s="64"/>
      <c r="X532" s="64"/>
      <c r="Y532" s="64"/>
      <c r="Z532" s="64"/>
      <c r="AA532" s="64"/>
      <c r="AB532" s="64"/>
      <c r="AC532" s="68"/>
      <c r="AD532" s="64"/>
    </row>
    <row r="533" ht="15.75" customHeight="1">
      <c r="A533" s="64"/>
      <c r="B533" s="64"/>
      <c r="C533" s="64"/>
      <c r="D533" s="64"/>
      <c r="E533" s="64"/>
      <c r="G533" s="68"/>
      <c r="H533" s="67"/>
      <c r="I533" s="64"/>
      <c r="J533" s="64"/>
      <c r="K533" s="64"/>
      <c r="L533" s="64"/>
      <c r="M533" s="64"/>
      <c r="N533" s="64"/>
      <c r="O533" s="64"/>
      <c r="P533" s="64"/>
      <c r="Q533" s="64"/>
      <c r="R533" s="64"/>
      <c r="S533" s="68"/>
      <c r="T533" s="64"/>
      <c r="U533" s="64"/>
      <c r="V533" s="64"/>
      <c r="W533" s="64"/>
      <c r="X533" s="64"/>
      <c r="Y533" s="64"/>
      <c r="Z533" s="64"/>
      <c r="AA533" s="64"/>
      <c r="AB533" s="64"/>
      <c r="AC533" s="68"/>
      <c r="AD533" s="64"/>
    </row>
    <row r="534" ht="15.75" customHeight="1">
      <c r="A534" s="64"/>
      <c r="B534" s="64"/>
      <c r="C534" s="64"/>
      <c r="D534" s="64"/>
      <c r="E534" s="64"/>
      <c r="G534" s="68"/>
      <c r="H534" s="67"/>
      <c r="I534" s="64"/>
      <c r="J534" s="64"/>
      <c r="K534" s="64"/>
      <c r="L534" s="64"/>
      <c r="M534" s="64"/>
      <c r="N534" s="64"/>
      <c r="O534" s="64"/>
      <c r="P534" s="64"/>
      <c r="Q534" s="64"/>
      <c r="R534" s="64"/>
      <c r="S534" s="68"/>
      <c r="T534" s="64"/>
      <c r="U534" s="64"/>
      <c r="V534" s="64"/>
      <c r="W534" s="64"/>
      <c r="X534" s="64"/>
      <c r="Y534" s="64"/>
      <c r="Z534" s="64"/>
      <c r="AA534" s="64"/>
      <c r="AB534" s="64"/>
      <c r="AC534" s="68"/>
      <c r="AD534" s="64"/>
    </row>
    <row r="535" ht="15.75" customHeight="1">
      <c r="A535" s="64"/>
      <c r="B535" s="64"/>
      <c r="C535" s="64"/>
      <c r="D535" s="64"/>
      <c r="E535" s="64"/>
      <c r="G535" s="68"/>
      <c r="H535" s="67"/>
      <c r="I535" s="64"/>
      <c r="J535" s="64"/>
      <c r="K535" s="64"/>
      <c r="L535" s="64"/>
      <c r="M535" s="64"/>
      <c r="N535" s="64"/>
      <c r="O535" s="64"/>
      <c r="P535" s="64"/>
      <c r="Q535" s="64"/>
      <c r="R535" s="64"/>
      <c r="S535" s="68"/>
      <c r="T535" s="64"/>
      <c r="U535" s="64"/>
      <c r="V535" s="64"/>
      <c r="W535" s="64"/>
      <c r="X535" s="64"/>
      <c r="Y535" s="64"/>
      <c r="Z535" s="64"/>
      <c r="AA535" s="64"/>
      <c r="AB535" s="64"/>
      <c r="AC535" s="68"/>
      <c r="AD535" s="64"/>
    </row>
    <row r="536" ht="15.75" customHeight="1">
      <c r="A536" s="64"/>
      <c r="B536" s="64"/>
      <c r="C536" s="64"/>
      <c r="D536" s="64"/>
      <c r="E536" s="64"/>
      <c r="G536" s="68"/>
      <c r="H536" s="67"/>
      <c r="I536" s="64"/>
      <c r="J536" s="64"/>
      <c r="K536" s="64"/>
      <c r="L536" s="64"/>
      <c r="M536" s="64"/>
      <c r="N536" s="64"/>
      <c r="O536" s="64"/>
      <c r="P536" s="64"/>
      <c r="Q536" s="64"/>
      <c r="R536" s="64"/>
      <c r="S536" s="68"/>
      <c r="T536" s="64"/>
      <c r="U536" s="64"/>
      <c r="V536" s="64"/>
      <c r="W536" s="64"/>
      <c r="X536" s="64"/>
      <c r="Y536" s="64"/>
      <c r="Z536" s="64"/>
      <c r="AA536" s="64"/>
      <c r="AB536" s="64"/>
      <c r="AC536" s="68"/>
      <c r="AD536" s="64"/>
    </row>
    <row r="537" ht="15.75" customHeight="1">
      <c r="A537" s="64"/>
      <c r="B537" s="64"/>
      <c r="C537" s="64"/>
      <c r="D537" s="64"/>
      <c r="E537" s="64"/>
      <c r="G537" s="68"/>
      <c r="H537" s="67"/>
      <c r="I537" s="64"/>
      <c r="J537" s="64"/>
      <c r="K537" s="64"/>
      <c r="L537" s="64"/>
      <c r="M537" s="64"/>
      <c r="N537" s="64"/>
      <c r="O537" s="64"/>
      <c r="P537" s="64"/>
      <c r="Q537" s="64"/>
      <c r="R537" s="64"/>
      <c r="S537" s="68"/>
      <c r="T537" s="64"/>
      <c r="U537" s="64"/>
      <c r="V537" s="64"/>
      <c r="W537" s="64"/>
      <c r="X537" s="64"/>
      <c r="Y537" s="64"/>
      <c r="Z537" s="64"/>
      <c r="AA537" s="64"/>
      <c r="AB537" s="64"/>
      <c r="AC537" s="68"/>
      <c r="AD537" s="64"/>
    </row>
    <row r="538" ht="15.75" customHeight="1">
      <c r="A538" s="64"/>
      <c r="B538" s="64"/>
      <c r="C538" s="64"/>
      <c r="D538" s="64"/>
      <c r="E538" s="64"/>
      <c r="G538" s="68"/>
      <c r="H538" s="67"/>
      <c r="I538" s="64"/>
      <c r="J538" s="64"/>
      <c r="K538" s="64"/>
      <c r="L538" s="64"/>
      <c r="M538" s="64"/>
      <c r="N538" s="64"/>
      <c r="O538" s="64"/>
      <c r="P538" s="64"/>
      <c r="Q538" s="64"/>
      <c r="R538" s="64"/>
      <c r="S538" s="68"/>
      <c r="T538" s="64"/>
      <c r="U538" s="64"/>
      <c r="V538" s="64"/>
      <c r="W538" s="64"/>
      <c r="X538" s="64"/>
      <c r="Y538" s="64"/>
      <c r="Z538" s="64"/>
      <c r="AA538" s="64"/>
      <c r="AB538" s="64"/>
      <c r="AC538" s="68"/>
      <c r="AD538" s="64"/>
    </row>
    <row r="539" ht="15.75" customHeight="1">
      <c r="A539" s="64"/>
      <c r="B539" s="64"/>
      <c r="C539" s="64"/>
      <c r="D539" s="64"/>
      <c r="E539" s="64"/>
      <c r="G539" s="68"/>
      <c r="H539" s="67"/>
      <c r="I539" s="64"/>
      <c r="J539" s="64"/>
      <c r="K539" s="64"/>
      <c r="L539" s="64"/>
      <c r="M539" s="64"/>
      <c r="N539" s="64"/>
      <c r="O539" s="64"/>
      <c r="P539" s="64"/>
      <c r="Q539" s="64"/>
      <c r="R539" s="64"/>
      <c r="S539" s="68"/>
      <c r="T539" s="64"/>
      <c r="U539" s="64"/>
      <c r="V539" s="64"/>
      <c r="W539" s="64"/>
      <c r="X539" s="64"/>
      <c r="Y539" s="64"/>
      <c r="Z539" s="64"/>
      <c r="AA539" s="64"/>
      <c r="AB539" s="64"/>
      <c r="AC539" s="68"/>
      <c r="AD539" s="64"/>
    </row>
    <row r="540" ht="15.75" customHeight="1">
      <c r="A540" s="64"/>
      <c r="B540" s="64"/>
      <c r="C540" s="64"/>
      <c r="D540" s="64"/>
      <c r="E540" s="64"/>
      <c r="G540" s="68"/>
      <c r="H540" s="67"/>
      <c r="I540" s="64"/>
      <c r="J540" s="64"/>
      <c r="K540" s="64"/>
      <c r="L540" s="64"/>
      <c r="M540" s="64"/>
      <c r="N540" s="64"/>
      <c r="O540" s="64"/>
      <c r="P540" s="64"/>
      <c r="Q540" s="64"/>
      <c r="R540" s="64"/>
      <c r="S540" s="68"/>
      <c r="T540" s="64"/>
      <c r="U540" s="64"/>
      <c r="V540" s="64"/>
      <c r="W540" s="64"/>
      <c r="X540" s="64"/>
      <c r="Y540" s="64"/>
      <c r="Z540" s="64"/>
      <c r="AA540" s="64"/>
      <c r="AB540" s="64"/>
      <c r="AC540" s="68"/>
      <c r="AD540" s="64"/>
    </row>
    <row r="541" ht="15.75" customHeight="1">
      <c r="A541" s="64"/>
      <c r="B541" s="64"/>
      <c r="C541" s="64"/>
      <c r="D541" s="64"/>
      <c r="E541" s="64"/>
      <c r="G541" s="68"/>
      <c r="H541" s="67"/>
      <c r="I541" s="64"/>
      <c r="J541" s="64"/>
      <c r="K541" s="64"/>
      <c r="L541" s="64"/>
      <c r="M541" s="64"/>
      <c r="N541" s="64"/>
      <c r="O541" s="64"/>
      <c r="P541" s="64"/>
      <c r="Q541" s="64"/>
      <c r="R541" s="64"/>
      <c r="S541" s="68"/>
      <c r="T541" s="64"/>
      <c r="U541" s="64"/>
      <c r="V541" s="64"/>
      <c r="W541" s="64"/>
      <c r="X541" s="64"/>
      <c r="Y541" s="64"/>
      <c r="Z541" s="64"/>
      <c r="AA541" s="64"/>
      <c r="AB541" s="64"/>
      <c r="AC541" s="68"/>
      <c r="AD541" s="64"/>
    </row>
    <row r="542" ht="15.75" customHeight="1">
      <c r="A542" s="64"/>
      <c r="B542" s="64"/>
      <c r="C542" s="64"/>
      <c r="D542" s="64"/>
      <c r="E542" s="64"/>
      <c r="G542" s="68"/>
      <c r="H542" s="67"/>
      <c r="I542" s="64"/>
      <c r="J542" s="64"/>
      <c r="K542" s="64"/>
      <c r="L542" s="64"/>
      <c r="M542" s="64"/>
      <c r="N542" s="64"/>
      <c r="O542" s="64"/>
      <c r="P542" s="64"/>
      <c r="Q542" s="64"/>
      <c r="R542" s="64"/>
      <c r="S542" s="68"/>
      <c r="T542" s="64"/>
      <c r="U542" s="64"/>
      <c r="V542" s="64"/>
      <c r="W542" s="64"/>
      <c r="X542" s="64"/>
      <c r="Y542" s="64"/>
      <c r="Z542" s="64"/>
      <c r="AA542" s="64"/>
      <c r="AB542" s="64"/>
      <c r="AC542" s="68"/>
      <c r="AD542" s="64"/>
    </row>
    <row r="543" ht="15.75" customHeight="1">
      <c r="A543" s="64"/>
      <c r="B543" s="64"/>
      <c r="C543" s="64"/>
      <c r="D543" s="64"/>
      <c r="E543" s="64"/>
      <c r="G543" s="68"/>
      <c r="H543" s="67"/>
      <c r="I543" s="64"/>
      <c r="J543" s="64"/>
      <c r="K543" s="64"/>
      <c r="L543" s="64"/>
      <c r="M543" s="64"/>
      <c r="N543" s="64"/>
      <c r="O543" s="64"/>
      <c r="P543" s="64"/>
      <c r="Q543" s="64"/>
      <c r="R543" s="64"/>
      <c r="S543" s="68"/>
      <c r="T543" s="64"/>
      <c r="U543" s="64"/>
      <c r="V543" s="64"/>
      <c r="W543" s="64"/>
      <c r="X543" s="64"/>
      <c r="Y543" s="64"/>
      <c r="Z543" s="64"/>
      <c r="AA543" s="64"/>
      <c r="AB543" s="64"/>
      <c r="AC543" s="68"/>
      <c r="AD543" s="64"/>
    </row>
    <row r="544" ht="15.75" customHeight="1">
      <c r="A544" s="64"/>
      <c r="B544" s="64"/>
      <c r="C544" s="64"/>
      <c r="D544" s="64"/>
      <c r="E544" s="64"/>
      <c r="G544" s="68"/>
      <c r="H544" s="67"/>
      <c r="I544" s="64"/>
      <c r="J544" s="64"/>
      <c r="K544" s="64"/>
      <c r="L544" s="64"/>
      <c r="M544" s="64"/>
      <c r="N544" s="64"/>
      <c r="O544" s="64"/>
      <c r="P544" s="64"/>
      <c r="Q544" s="64"/>
      <c r="R544" s="64"/>
      <c r="S544" s="68"/>
      <c r="T544" s="64"/>
      <c r="U544" s="64"/>
      <c r="V544" s="64"/>
      <c r="W544" s="64"/>
      <c r="X544" s="64"/>
      <c r="Y544" s="64"/>
      <c r="Z544" s="64"/>
      <c r="AA544" s="64"/>
      <c r="AB544" s="64"/>
      <c r="AC544" s="68"/>
      <c r="AD544" s="64"/>
    </row>
    <row r="545" ht="15.75" customHeight="1">
      <c r="A545" s="64"/>
      <c r="B545" s="64"/>
      <c r="C545" s="64"/>
      <c r="D545" s="64"/>
      <c r="E545" s="64"/>
      <c r="G545" s="68"/>
      <c r="H545" s="67"/>
      <c r="I545" s="64"/>
      <c r="J545" s="64"/>
      <c r="K545" s="64"/>
      <c r="L545" s="64"/>
      <c r="M545" s="64"/>
      <c r="N545" s="64"/>
      <c r="O545" s="64"/>
      <c r="P545" s="64"/>
      <c r="Q545" s="64"/>
      <c r="R545" s="64"/>
      <c r="S545" s="68"/>
      <c r="T545" s="64"/>
      <c r="U545" s="64"/>
      <c r="V545" s="64"/>
      <c r="W545" s="64"/>
      <c r="X545" s="64"/>
      <c r="Y545" s="64"/>
      <c r="Z545" s="64"/>
      <c r="AA545" s="64"/>
      <c r="AB545" s="64"/>
      <c r="AC545" s="68"/>
      <c r="AD545" s="64"/>
    </row>
    <row r="546" ht="15.75" customHeight="1">
      <c r="A546" s="64"/>
      <c r="B546" s="64"/>
      <c r="C546" s="64"/>
      <c r="D546" s="64"/>
      <c r="E546" s="64"/>
      <c r="G546" s="68"/>
      <c r="H546" s="67"/>
      <c r="I546" s="64"/>
      <c r="J546" s="64"/>
      <c r="K546" s="64"/>
      <c r="L546" s="64"/>
      <c r="M546" s="64"/>
      <c r="N546" s="64"/>
      <c r="O546" s="64"/>
      <c r="P546" s="64"/>
      <c r="Q546" s="64"/>
      <c r="R546" s="64"/>
      <c r="S546" s="68"/>
      <c r="T546" s="64"/>
      <c r="U546" s="64"/>
      <c r="V546" s="64"/>
      <c r="W546" s="64"/>
      <c r="X546" s="64"/>
      <c r="Y546" s="64"/>
      <c r="Z546" s="64"/>
      <c r="AA546" s="64"/>
      <c r="AB546" s="64"/>
      <c r="AC546" s="68"/>
      <c r="AD546" s="64"/>
    </row>
    <row r="547" ht="15.75" customHeight="1">
      <c r="A547" s="64"/>
      <c r="B547" s="64"/>
      <c r="C547" s="64"/>
      <c r="D547" s="64"/>
      <c r="E547" s="64"/>
      <c r="G547" s="68"/>
      <c r="H547" s="67"/>
      <c r="I547" s="64"/>
      <c r="J547" s="64"/>
      <c r="K547" s="64"/>
      <c r="L547" s="64"/>
      <c r="M547" s="64"/>
      <c r="N547" s="64"/>
      <c r="O547" s="64"/>
      <c r="P547" s="64"/>
      <c r="Q547" s="64"/>
      <c r="R547" s="64"/>
      <c r="S547" s="68"/>
      <c r="T547" s="64"/>
      <c r="U547" s="64"/>
      <c r="V547" s="64"/>
      <c r="W547" s="64"/>
      <c r="X547" s="64"/>
      <c r="Y547" s="64"/>
      <c r="Z547" s="64"/>
      <c r="AA547" s="64"/>
      <c r="AB547" s="64"/>
      <c r="AC547" s="68"/>
      <c r="AD547" s="64"/>
    </row>
    <row r="548" ht="15.75" customHeight="1">
      <c r="A548" s="64"/>
      <c r="B548" s="64"/>
      <c r="C548" s="64"/>
      <c r="D548" s="64"/>
      <c r="E548" s="64"/>
      <c r="G548" s="68"/>
      <c r="H548" s="67"/>
      <c r="I548" s="64"/>
      <c r="J548" s="64"/>
      <c r="K548" s="64"/>
      <c r="L548" s="64"/>
      <c r="M548" s="64"/>
      <c r="N548" s="64"/>
      <c r="O548" s="64"/>
      <c r="P548" s="64"/>
      <c r="Q548" s="64"/>
      <c r="R548" s="64"/>
      <c r="S548" s="68"/>
      <c r="T548" s="64"/>
      <c r="U548" s="64"/>
      <c r="V548" s="64"/>
      <c r="W548" s="64"/>
      <c r="X548" s="64"/>
      <c r="Y548" s="64"/>
      <c r="Z548" s="64"/>
      <c r="AA548" s="64"/>
      <c r="AB548" s="64"/>
      <c r="AC548" s="68"/>
      <c r="AD548" s="64"/>
    </row>
    <row r="549" ht="15.75" customHeight="1">
      <c r="A549" s="64"/>
      <c r="B549" s="64"/>
      <c r="C549" s="64"/>
      <c r="D549" s="64"/>
      <c r="E549" s="64"/>
      <c r="G549" s="68"/>
      <c r="H549" s="67"/>
      <c r="I549" s="64"/>
      <c r="J549" s="64"/>
      <c r="K549" s="64"/>
      <c r="L549" s="64"/>
      <c r="M549" s="64"/>
      <c r="N549" s="64"/>
      <c r="O549" s="64"/>
      <c r="P549" s="64"/>
      <c r="Q549" s="64"/>
      <c r="R549" s="64"/>
      <c r="S549" s="68"/>
      <c r="T549" s="64"/>
      <c r="U549" s="64"/>
      <c r="V549" s="64"/>
      <c r="W549" s="64"/>
      <c r="X549" s="64"/>
      <c r="Y549" s="64"/>
      <c r="Z549" s="64"/>
      <c r="AA549" s="64"/>
      <c r="AB549" s="64"/>
      <c r="AC549" s="68"/>
      <c r="AD549" s="64"/>
    </row>
    <row r="550" ht="15.75" customHeight="1">
      <c r="A550" s="64"/>
      <c r="B550" s="64"/>
      <c r="C550" s="64"/>
      <c r="D550" s="64"/>
      <c r="E550" s="64"/>
      <c r="G550" s="68"/>
      <c r="H550" s="67"/>
      <c r="I550" s="64"/>
      <c r="J550" s="64"/>
      <c r="K550" s="64"/>
      <c r="L550" s="64"/>
      <c r="M550" s="64"/>
      <c r="N550" s="64"/>
      <c r="O550" s="64"/>
      <c r="P550" s="64"/>
      <c r="Q550" s="64"/>
      <c r="R550" s="64"/>
      <c r="S550" s="68"/>
      <c r="T550" s="64"/>
      <c r="U550" s="64"/>
      <c r="V550" s="64"/>
      <c r="W550" s="64"/>
      <c r="X550" s="64"/>
      <c r="Y550" s="64"/>
      <c r="Z550" s="64"/>
      <c r="AA550" s="64"/>
      <c r="AB550" s="64"/>
      <c r="AC550" s="68"/>
      <c r="AD550" s="64"/>
    </row>
    <row r="551" ht="15.75" customHeight="1">
      <c r="A551" s="64"/>
      <c r="B551" s="64"/>
      <c r="C551" s="64"/>
      <c r="D551" s="64"/>
      <c r="E551" s="64"/>
      <c r="G551" s="68"/>
      <c r="H551" s="67"/>
      <c r="I551" s="64"/>
      <c r="J551" s="64"/>
      <c r="K551" s="64"/>
      <c r="L551" s="64"/>
      <c r="M551" s="64"/>
      <c r="N551" s="64"/>
      <c r="O551" s="64"/>
      <c r="P551" s="64"/>
      <c r="Q551" s="64"/>
      <c r="R551" s="64"/>
      <c r="S551" s="68"/>
      <c r="T551" s="64"/>
      <c r="U551" s="64"/>
      <c r="V551" s="64"/>
      <c r="W551" s="64"/>
      <c r="X551" s="64"/>
      <c r="Y551" s="64"/>
      <c r="Z551" s="64"/>
      <c r="AA551" s="64"/>
      <c r="AB551" s="64"/>
      <c r="AC551" s="68"/>
      <c r="AD551" s="64"/>
    </row>
    <row r="552" ht="15.75" customHeight="1">
      <c r="A552" s="64"/>
      <c r="B552" s="64"/>
      <c r="C552" s="64"/>
      <c r="D552" s="64"/>
      <c r="E552" s="64"/>
      <c r="G552" s="68"/>
      <c r="H552" s="67"/>
      <c r="I552" s="64"/>
      <c r="J552" s="64"/>
      <c r="K552" s="64"/>
      <c r="L552" s="64"/>
      <c r="M552" s="64"/>
      <c r="N552" s="64"/>
      <c r="O552" s="64"/>
      <c r="P552" s="64"/>
      <c r="Q552" s="64"/>
      <c r="R552" s="64"/>
      <c r="S552" s="68"/>
      <c r="T552" s="64"/>
      <c r="U552" s="64"/>
      <c r="V552" s="64"/>
      <c r="W552" s="64"/>
      <c r="X552" s="64"/>
      <c r="Y552" s="64"/>
      <c r="Z552" s="64"/>
      <c r="AA552" s="64"/>
      <c r="AB552" s="64"/>
      <c r="AC552" s="68"/>
      <c r="AD552" s="64"/>
    </row>
    <row r="553" ht="15.75" customHeight="1">
      <c r="A553" s="64"/>
      <c r="B553" s="64"/>
      <c r="C553" s="64"/>
      <c r="D553" s="64"/>
      <c r="E553" s="64"/>
      <c r="G553" s="68"/>
      <c r="H553" s="67"/>
      <c r="I553" s="64"/>
      <c r="J553" s="64"/>
      <c r="K553" s="64"/>
      <c r="L553" s="64"/>
      <c r="M553" s="64"/>
      <c r="N553" s="64"/>
      <c r="O553" s="64"/>
      <c r="P553" s="64"/>
      <c r="Q553" s="64"/>
      <c r="R553" s="64"/>
      <c r="S553" s="68"/>
      <c r="T553" s="64"/>
      <c r="U553" s="64"/>
      <c r="V553" s="64"/>
      <c r="W553" s="64"/>
      <c r="X553" s="64"/>
      <c r="Y553" s="64"/>
      <c r="Z553" s="64"/>
      <c r="AA553" s="64"/>
      <c r="AB553" s="64"/>
      <c r="AC553" s="68"/>
      <c r="AD553" s="64"/>
    </row>
    <row r="554" ht="15.75" customHeight="1">
      <c r="A554" s="64"/>
      <c r="B554" s="64"/>
      <c r="C554" s="64"/>
      <c r="D554" s="64"/>
      <c r="E554" s="64"/>
      <c r="G554" s="68"/>
      <c r="H554" s="67"/>
      <c r="I554" s="64"/>
      <c r="J554" s="64"/>
      <c r="K554" s="64"/>
      <c r="L554" s="64"/>
      <c r="M554" s="64"/>
      <c r="N554" s="64"/>
      <c r="O554" s="64"/>
      <c r="P554" s="64"/>
      <c r="Q554" s="64"/>
      <c r="R554" s="64"/>
      <c r="S554" s="68"/>
      <c r="T554" s="64"/>
      <c r="U554" s="64"/>
      <c r="V554" s="64"/>
      <c r="W554" s="64"/>
      <c r="X554" s="64"/>
      <c r="Y554" s="64"/>
      <c r="Z554" s="64"/>
      <c r="AA554" s="64"/>
      <c r="AB554" s="64"/>
      <c r="AC554" s="68"/>
      <c r="AD554" s="64"/>
    </row>
    <row r="555" ht="15.75" customHeight="1">
      <c r="A555" s="64"/>
      <c r="B555" s="64"/>
      <c r="C555" s="64"/>
      <c r="D555" s="64"/>
      <c r="E555" s="64"/>
      <c r="G555" s="68"/>
      <c r="H555" s="67"/>
      <c r="I555" s="64"/>
      <c r="J555" s="64"/>
      <c r="K555" s="64"/>
      <c r="L555" s="64"/>
      <c r="M555" s="64"/>
      <c r="N555" s="64"/>
      <c r="O555" s="64"/>
      <c r="P555" s="64"/>
      <c r="Q555" s="64"/>
      <c r="R555" s="64"/>
      <c r="S555" s="68"/>
      <c r="T555" s="64"/>
      <c r="U555" s="64"/>
      <c r="V555" s="64"/>
      <c r="W555" s="64"/>
      <c r="X555" s="64"/>
      <c r="Y555" s="64"/>
      <c r="Z555" s="64"/>
      <c r="AA555" s="64"/>
      <c r="AB555" s="64"/>
      <c r="AC555" s="68"/>
      <c r="AD555" s="64"/>
    </row>
    <row r="556" ht="15.75" customHeight="1">
      <c r="A556" s="64"/>
      <c r="B556" s="64"/>
      <c r="C556" s="64"/>
      <c r="D556" s="64"/>
      <c r="E556" s="64"/>
      <c r="G556" s="68"/>
      <c r="H556" s="67"/>
      <c r="I556" s="64"/>
      <c r="J556" s="64"/>
      <c r="K556" s="64"/>
      <c r="L556" s="64"/>
      <c r="M556" s="64"/>
      <c r="N556" s="64"/>
      <c r="O556" s="64"/>
      <c r="P556" s="64"/>
      <c r="Q556" s="64"/>
      <c r="R556" s="64"/>
      <c r="S556" s="68"/>
      <c r="T556" s="64"/>
      <c r="U556" s="64"/>
      <c r="V556" s="64"/>
      <c r="W556" s="64"/>
      <c r="X556" s="64"/>
      <c r="Y556" s="64"/>
      <c r="Z556" s="64"/>
      <c r="AA556" s="64"/>
      <c r="AB556" s="64"/>
      <c r="AC556" s="68"/>
      <c r="AD556" s="64"/>
    </row>
    <row r="557" ht="15.75" customHeight="1">
      <c r="A557" s="64"/>
      <c r="B557" s="64"/>
      <c r="C557" s="64"/>
      <c r="D557" s="64"/>
      <c r="E557" s="64"/>
      <c r="G557" s="68"/>
      <c r="H557" s="67"/>
      <c r="I557" s="64"/>
      <c r="J557" s="64"/>
      <c r="K557" s="64"/>
      <c r="L557" s="64"/>
      <c r="M557" s="64"/>
      <c r="N557" s="64"/>
      <c r="O557" s="64"/>
      <c r="P557" s="64"/>
      <c r="Q557" s="64"/>
      <c r="R557" s="64"/>
      <c r="S557" s="68"/>
      <c r="T557" s="64"/>
      <c r="U557" s="64"/>
      <c r="V557" s="64"/>
      <c r="W557" s="64"/>
      <c r="X557" s="64"/>
      <c r="Y557" s="64"/>
      <c r="Z557" s="64"/>
      <c r="AA557" s="64"/>
      <c r="AB557" s="64"/>
      <c r="AC557" s="68"/>
      <c r="AD557" s="64"/>
    </row>
    <row r="558" ht="15.75" customHeight="1">
      <c r="A558" s="64"/>
      <c r="B558" s="64"/>
      <c r="C558" s="64"/>
      <c r="D558" s="64"/>
      <c r="E558" s="64"/>
      <c r="G558" s="68"/>
      <c r="H558" s="67"/>
      <c r="I558" s="64"/>
      <c r="J558" s="64"/>
      <c r="K558" s="64"/>
      <c r="L558" s="64"/>
      <c r="M558" s="64"/>
      <c r="N558" s="64"/>
      <c r="O558" s="64"/>
      <c r="P558" s="64"/>
      <c r="Q558" s="64"/>
      <c r="R558" s="64"/>
      <c r="S558" s="68"/>
      <c r="T558" s="64"/>
      <c r="U558" s="64"/>
      <c r="V558" s="64"/>
      <c r="W558" s="64"/>
      <c r="X558" s="64"/>
      <c r="Y558" s="64"/>
      <c r="Z558" s="64"/>
      <c r="AA558" s="64"/>
      <c r="AB558" s="64"/>
      <c r="AC558" s="68"/>
      <c r="AD558" s="64"/>
    </row>
    <row r="559" ht="15.75" customHeight="1">
      <c r="A559" s="64"/>
      <c r="B559" s="64"/>
      <c r="C559" s="64"/>
      <c r="D559" s="64"/>
      <c r="E559" s="64"/>
      <c r="G559" s="68"/>
      <c r="H559" s="67"/>
      <c r="I559" s="64"/>
      <c r="J559" s="64"/>
      <c r="K559" s="64"/>
      <c r="L559" s="64"/>
      <c r="M559" s="64"/>
      <c r="N559" s="64"/>
      <c r="O559" s="64"/>
      <c r="P559" s="64"/>
      <c r="Q559" s="64"/>
      <c r="R559" s="64"/>
      <c r="S559" s="68"/>
      <c r="T559" s="64"/>
      <c r="U559" s="64"/>
      <c r="V559" s="64"/>
      <c r="W559" s="64"/>
      <c r="X559" s="64"/>
      <c r="Y559" s="64"/>
      <c r="Z559" s="64"/>
      <c r="AA559" s="64"/>
      <c r="AB559" s="64"/>
      <c r="AC559" s="68"/>
      <c r="AD559" s="64"/>
    </row>
    <row r="560" ht="15.75" customHeight="1">
      <c r="A560" s="64"/>
      <c r="B560" s="64"/>
      <c r="C560" s="64"/>
      <c r="D560" s="64"/>
      <c r="E560" s="64"/>
      <c r="G560" s="68"/>
      <c r="H560" s="67"/>
      <c r="I560" s="64"/>
      <c r="J560" s="64"/>
      <c r="K560" s="64"/>
      <c r="L560" s="64"/>
      <c r="M560" s="64"/>
      <c r="N560" s="64"/>
      <c r="O560" s="64"/>
      <c r="P560" s="64"/>
      <c r="Q560" s="64"/>
      <c r="R560" s="64"/>
      <c r="S560" s="68"/>
      <c r="T560" s="64"/>
      <c r="U560" s="64"/>
      <c r="V560" s="64"/>
      <c r="W560" s="64"/>
      <c r="X560" s="64"/>
      <c r="Y560" s="64"/>
      <c r="Z560" s="64"/>
      <c r="AA560" s="64"/>
      <c r="AB560" s="64"/>
      <c r="AC560" s="68"/>
      <c r="AD560" s="64"/>
    </row>
    <row r="561" ht="15.75" customHeight="1">
      <c r="A561" s="64"/>
      <c r="B561" s="64"/>
      <c r="C561" s="64"/>
      <c r="D561" s="64"/>
      <c r="E561" s="64"/>
      <c r="G561" s="68"/>
      <c r="H561" s="67"/>
      <c r="I561" s="64"/>
      <c r="J561" s="64"/>
      <c r="K561" s="64"/>
      <c r="L561" s="64"/>
      <c r="M561" s="64"/>
      <c r="N561" s="64"/>
      <c r="O561" s="64"/>
      <c r="P561" s="64"/>
      <c r="Q561" s="64"/>
      <c r="R561" s="64"/>
      <c r="S561" s="68"/>
      <c r="T561" s="64"/>
      <c r="U561" s="64"/>
      <c r="V561" s="64"/>
      <c r="W561" s="64"/>
      <c r="X561" s="64"/>
      <c r="Y561" s="64"/>
      <c r="Z561" s="64"/>
      <c r="AA561" s="64"/>
      <c r="AB561" s="64"/>
      <c r="AC561" s="68"/>
      <c r="AD561" s="64"/>
    </row>
    <row r="562" ht="15.75" customHeight="1">
      <c r="A562" s="64"/>
      <c r="B562" s="64"/>
      <c r="C562" s="64"/>
      <c r="D562" s="64"/>
      <c r="E562" s="64"/>
      <c r="G562" s="68"/>
      <c r="H562" s="67"/>
      <c r="I562" s="64"/>
      <c r="J562" s="64"/>
      <c r="K562" s="64"/>
      <c r="L562" s="64"/>
      <c r="M562" s="64"/>
      <c r="N562" s="64"/>
      <c r="O562" s="64"/>
      <c r="P562" s="64"/>
      <c r="Q562" s="64"/>
      <c r="R562" s="64"/>
      <c r="S562" s="68"/>
      <c r="T562" s="64"/>
      <c r="U562" s="64"/>
      <c r="V562" s="64"/>
      <c r="W562" s="64"/>
      <c r="X562" s="64"/>
      <c r="Y562" s="64"/>
      <c r="Z562" s="64"/>
      <c r="AA562" s="64"/>
      <c r="AB562" s="64"/>
      <c r="AC562" s="68"/>
      <c r="AD562" s="64"/>
    </row>
    <row r="563" ht="15.75" customHeight="1">
      <c r="A563" s="64"/>
      <c r="B563" s="64"/>
      <c r="C563" s="64"/>
      <c r="D563" s="64"/>
      <c r="E563" s="64"/>
      <c r="G563" s="68"/>
      <c r="H563" s="67"/>
      <c r="I563" s="64"/>
      <c r="J563" s="64"/>
      <c r="K563" s="64"/>
      <c r="L563" s="64"/>
      <c r="M563" s="64"/>
      <c r="N563" s="64"/>
      <c r="O563" s="64"/>
      <c r="P563" s="64"/>
      <c r="Q563" s="64"/>
      <c r="R563" s="64"/>
      <c r="S563" s="68"/>
      <c r="T563" s="64"/>
      <c r="U563" s="64"/>
      <c r="V563" s="64"/>
      <c r="W563" s="64"/>
      <c r="X563" s="64"/>
      <c r="Y563" s="64"/>
      <c r="Z563" s="64"/>
      <c r="AA563" s="64"/>
      <c r="AB563" s="64"/>
      <c r="AC563" s="68"/>
      <c r="AD563" s="64"/>
    </row>
    <row r="564" ht="15.75" customHeight="1">
      <c r="A564" s="64"/>
      <c r="B564" s="64"/>
      <c r="C564" s="64"/>
      <c r="D564" s="64"/>
      <c r="E564" s="64"/>
      <c r="G564" s="68"/>
      <c r="H564" s="67"/>
      <c r="I564" s="64"/>
      <c r="J564" s="64"/>
      <c r="K564" s="64"/>
      <c r="L564" s="64"/>
      <c r="M564" s="64"/>
      <c r="N564" s="64"/>
      <c r="O564" s="64"/>
      <c r="P564" s="64"/>
      <c r="Q564" s="64"/>
      <c r="R564" s="64"/>
      <c r="S564" s="68"/>
      <c r="T564" s="64"/>
      <c r="U564" s="64"/>
      <c r="V564" s="64"/>
      <c r="W564" s="64"/>
      <c r="X564" s="64"/>
      <c r="Y564" s="64"/>
      <c r="Z564" s="64"/>
      <c r="AA564" s="64"/>
      <c r="AB564" s="64"/>
      <c r="AC564" s="68"/>
      <c r="AD564" s="64"/>
    </row>
    <row r="565" ht="15.75" customHeight="1">
      <c r="A565" s="64"/>
      <c r="B565" s="64"/>
      <c r="C565" s="64"/>
      <c r="D565" s="64"/>
      <c r="E565" s="64"/>
      <c r="G565" s="68"/>
      <c r="H565" s="67"/>
      <c r="I565" s="64"/>
      <c r="J565" s="64"/>
      <c r="K565" s="64"/>
      <c r="L565" s="64"/>
      <c r="M565" s="64"/>
      <c r="N565" s="64"/>
      <c r="O565" s="64"/>
      <c r="P565" s="64"/>
      <c r="Q565" s="64"/>
      <c r="R565" s="64"/>
      <c r="S565" s="68"/>
      <c r="T565" s="64"/>
      <c r="U565" s="64"/>
      <c r="V565" s="64"/>
      <c r="W565" s="64"/>
      <c r="X565" s="64"/>
      <c r="Y565" s="64"/>
      <c r="Z565" s="64"/>
      <c r="AA565" s="64"/>
      <c r="AB565" s="64"/>
      <c r="AC565" s="68"/>
      <c r="AD565" s="64"/>
    </row>
    <row r="566" ht="15.75" customHeight="1">
      <c r="A566" s="64"/>
      <c r="B566" s="64"/>
      <c r="C566" s="64"/>
      <c r="D566" s="64"/>
      <c r="E566" s="64"/>
      <c r="G566" s="68"/>
      <c r="H566" s="67"/>
      <c r="I566" s="64"/>
      <c r="J566" s="64"/>
      <c r="K566" s="64"/>
      <c r="L566" s="64"/>
      <c r="M566" s="64"/>
      <c r="N566" s="64"/>
      <c r="O566" s="64"/>
      <c r="P566" s="64"/>
      <c r="Q566" s="64"/>
      <c r="R566" s="64"/>
      <c r="S566" s="68"/>
      <c r="T566" s="64"/>
      <c r="U566" s="64"/>
      <c r="V566" s="64"/>
      <c r="W566" s="64"/>
      <c r="X566" s="64"/>
      <c r="Y566" s="64"/>
      <c r="Z566" s="64"/>
      <c r="AA566" s="64"/>
      <c r="AB566" s="64"/>
      <c r="AC566" s="68"/>
      <c r="AD566" s="64"/>
    </row>
    <row r="567" ht="15.75" customHeight="1">
      <c r="A567" s="64"/>
      <c r="B567" s="64"/>
      <c r="C567" s="64"/>
      <c r="D567" s="64"/>
      <c r="E567" s="64"/>
      <c r="G567" s="68"/>
      <c r="H567" s="67"/>
      <c r="I567" s="64"/>
      <c r="J567" s="64"/>
      <c r="K567" s="64"/>
      <c r="L567" s="64"/>
      <c r="M567" s="64"/>
      <c r="N567" s="64"/>
      <c r="O567" s="64"/>
      <c r="P567" s="64"/>
      <c r="Q567" s="64"/>
      <c r="R567" s="64"/>
      <c r="S567" s="68"/>
      <c r="T567" s="64"/>
      <c r="U567" s="64"/>
      <c r="V567" s="64"/>
      <c r="W567" s="64"/>
      <c r="X567" s="64"/>
      <c r="Y567" s="64"/>
      <c r="Z567" s="64"/>
      <c r="AA567" s="64"/>
      <c r="AB567" s="64"/>
      <c r="AC567" s="68"/>
      <c r="AD567" s="64"/>
    </row>
    <row r="568" ht="15.75" customHeight="1">
      <c r="A568" s="64"/>
      <c r="B568" s="64"/>
      <c r="C568" s="64"/>
      <c r="D568" s="64"/>
      <c r="E568" s="64"/>
      <c r="G568" s="68"/>
      <c r="H568" s="67"/>
      <c r="I568" s="64"/>
      <c r="J568" s="64"/>
      <c r="K568" s="64"/>
      <c r="L568" s="64"/>
      <c r="M568" s="64"/>
      <c r="N568" s="64"/>
      <c r="O568" s="64"/>
      <c r="P568" s="64"/>
      <c r="Q568" s="64"/>
      <c r="R568" s="64"/>
      <c r="S568" s="68"/>
      <c r="T568" s="64"/>
      <c r="U568" s="64"/>
      <c r="V568" s="64"/>
      <c r="W568" s="64"/>
      <c r="X568" s="64"/>
      <c r="Y568" s="64"/>
      <c r="Z568" s="64"/>
      <c r="AA568" s="64"/>
      <c r="AB568" s="64"/>
      <c r="AC568" s="68"/>
      <c r="AD568" s="64"/>
    </row>
    <row r="569" ht="15.75" customHeight="1">
      <c r="A569" s="64"/>
      <c r="B569" s="64"/>
      <c r="C569" s="64"/>
      <c r="D569" s="64"/>
      <c r="E569" s="64"/>
      <c r="G569" s="68"/>
      <c r="H569" s="67"/>
      <c r="I569" s="64"/>
      <c r="J569" s="64"/>
      <c r="K569" s="64"/>
      <c r="L569" s="64"/>
      <c r="M569" s="64"/>
      <c r="N569" s="64"/>
      <c r="O569" s="64"/>
      <c r="P569" s="64"/>
      <c r="Q569" s="64"/>
      <c r="R569" s="64"/>
      <c r="S569" s="68"/>
      <c r="T569" s="64"/>
      <c r="U569" s="64"/>
      <c r="V569" s="64"/>
      <c r="W569" s="64"/>
      <c r="X569" s="64"/>
      <c r="Y569" s="64"/>
      <c r="Z569" s="64"/>
      <c r="AA569" s="64"/>
      <c r="AB569" s="64"/>
      <c r="AC569" s="68"/>
      <c r="AD569" s="64"/>
    </row>
    <row r="570" ht="15.75" customHeight="1">
      <c r="A570" s="64"/>
      <c r="B570" s="64"/>
      <c r="C570" s="64"/>
      <c r="D570" s="64"/>
      <c r="E570" s="64"/>
      <c r="G570" s="68"/>
      <c r="H570" s="67"/>
      <c r="I570" s="64"/>
      <c r="J570" s="64"/>
      <c r="K570" s="64"/>
      <c r="L570" s="64"/>
      <c r="M570" s="64"/>
      <c r="N570" s="64"/>
      <c r="O570" s="64"/>
      <c r="P570" s="64"/>
      <c r="Q570" s="64"/>
      <c r="R570" s="64"/>
      <c r="S570" s="68"/>
      <c r="T570" s="64"/>
      <c r="U570" s="64"/>
      <c r="V570" s="64"/>
      <c r="W570" s="64"/>
      <c r="X570" s="64"/>
      <c r="Y570" s="64"/>
      <c r="Z570" s="64"/>
      <c r="AA570" s="64"/>
      <c r="AB570" s="64"/>
      <c r="AC570" s="68"/>
      <c r="AD570" s="64"/>
    </row>
    <row r="571" ht="15.75" customHeight="1">
      <c r="A571" s="64"/>
      <c r="B571" s="64"/>
      <c r="C571" s="64"/>
      <c r="D571" s="64"/>
      <c r="E571" s="64"/>
      <c r="G571" s="68"/>
      <c r="H571" s="67"/>
      <c r="I571" s="64"/>
      <c r="J571" s="64"/>
      <c r="K571" s="64"/>
      <c r="L571" s="64"/>
      <c r="M571" s="64"/>
      <c r="N571" s="64"/>
      <c r="O571" s="64"/>
      <c r="P571" s="64"/>
      <c r="Q571" s="64"/>
      <c r="R571" s="64"/>
      <c r="S571" s="68"/>
      <c r="T571" s="64"/>
      <c r="U571" s="64"/>
      <c r="V571" s="64"/>
      <c r="W571" s="64"/>
      <c r="X571" s="64"/>
      <c r="Y571" s="64"/>
      <c r="Z571" s="64"/>
      <c r="AA571" s="64"/>
      <c r="AB571" s="64"/>
      <c r="AC571" s="68"/>
      <c r="AD571" s="64"/>
    </row>
    <row r="572" ht="15.75" customHeight="1">
      <c r="A572" s="64"/>
      <c r="B572" s="64"/>
      <c r="C572" s="64"/>
      <c r="D572" s="64"/>
      <c r="E572" s="64"/>
      <c r="G572" s="68"/>
      <c r="H572" s="67"/>
      <c r="I572" s="64"/>
      <c r="J572" s="64"/>
      <c r="K572" s="64"/>
      <c r="L572" s="64"/>
      <c r="M572" s="64"/>
      <c r="N572" s="64"/>
      <c r="O572" s="64"/>
      <c r="P572" s="64"/>
      <c r="Q572" s="64"/>
      <c r="R572" s="64"/>
      <c r="S572" s="68"/>
      <c r="T572" s="64"/>
      <c r="U572" s="64"/>
      <c r="V572" s="64"/>
      <c r="W572" s="64"/>
      <c r="X572" s="64"/>
      <c r="Y572" s="64"/>
      <c r="Z572" s="64"/>
      <c r="AA572" s="64"/>
      <c r="AB572" s="64"/>
      <c r="AC572" s="68"/>
      <c r="AD572" s="64"/>
    </row>
    <row r="573" ht="15.75" customHeight="1">
      <c r="A573" s="64"/>
      <c r="B573" s="64"/>
      <c r="C573" s="64"/>
      <c r="D573" s="64"/>
      <c r="E573" s="64"/>
      <c r="G573" s="68"/>
      <c r="H573" s="67"/>
      <c r="I573" s="64"/>
      <c r="J573" s="64"/>
      <c r="K573" s="64"/>
      <c r="L573" s="64"/>
      <c r="M573" s="64"/>
      <c r="N573" s="64"/>
      <c r="O573" s="64"/>
      <c r="P573" s="64"/>
      <c r="Q573" s="64"/>
      <c r="R573" s="64"/>
      <c r="S573" s="68"/>
      <c r="T573" s="64"/>
      <c r="U573" s="64"/>
      <c r="V573" s="64"/>
      <c r="W573" s="64"/>
      <c r="X573" s="64"/>
      <c r="Y573" s="64"/>
      <c r="Z573" s="64"/>
      <c r="AA573" s="64"/>
      <c r="AB573" s="64"/>
      <c r="AC573" s="68"/>
      <c r="AD573" s="64"/>
    </row>
    <row r="574" ht="15.75" customHeight="1">
      <c r="A574" s="64"/>
      <c r="B574" s="64"/>
      <c r="C574" s="64"/>
      <c r="D574" s="64"/>
      <c r="E574" s="64"/>
      <c r="G574" s="68"/>
      <c r="H574" s="67"/>
      <c r="I574" s="64"/>
      <c r="J574" s="64"/>
      <c r="K574" s="64"/>
      <c r="L574" s="64"/>
      <c r="M574" s="64"/>
      <c r="N574" s="64"/>
      <c r="O574" s="64"/>
      <c r="P574" s="64"/>
      <c r="Q574" s="64"/>
      <c r="R574" s="64"/>
      <c r="S574" s="68"/>
      <c r="T574" s="64"/>
      <c r="U574" s="64"/>
      <c r="V574" s="64"/>
      <c r="W574" s="64"/>
      <c r="X574" s="64"/>
      <c r="Y574" s="64"/>
      <c r="Z574" s="64"/>
      <c r="AA574" s="64"/>
      <c r="AB574" s="64"/>
      <c r="AC574" s="68"/>
      <c r="AD574" s="64"/>
    </row>
    <row r="575" ht="15.75" customHeight="1">
      <c r="A575" s="64"/>
      <c r="B575" s="64"/>
      <c r="C575" s="64"/>
      <c r="D575" s="64"/>
      <c r="E575" s="64"/>
      <c r="G575" s="68"/>
      <c r="H575" s="67"/>
      <c r="I575" s="64"/>
      <c r="J575" s="64"/>
      <c r="K575" s="64"/>
      <c r="L575" s="64"/>
      <c r="M575" s="64"/>
      <c r="N575" s="64"/>
      <c r="O575" s="64"/>
      <c r="P575" s="64"/>
      <c r="Q575" s="64"/>
      <c r="R575" s="64"/>
      <c r="S575" s="68"/>
      <c r="T575" s="64"/>
      <c r="U575" s="64"/>
      <c r="V575" s="64"/>
      <c r="W575" s="64"/>
      <c r="X575" s="64"/>
      <c r="Y575" s="64"/>
      <c r="Z575" s="64"/>
      <c r="AA575" s="64"/>
      <c r="AB575" s="64"/>
      <c r="AC575" s="68"/>
      <c r="AD575" s="64"/>
    </row>
    <row r="576" ht="15.75" customHeight="1">
      <c r="A576" s="64"/>
      <c r="B576" s="64"/>
      <c r="C576" s="64"/>
      <c r="D576" s="64"/>
      <c r="E576" s="64"/>
      <c r="G576" s="68"/>
      <c r="H576" s="67"/>
      <c r="I576" s="64"/>
      <c r="J576" s="64"/>
      <c r="K576" s="64"/>
      <c r="L576" s="64"/>
      <c r="M576" s="64"/>
      <c r="N576" s="64"/>
      <c r="O576" s="64"/>
      <c r="P576" s="64"/>
      <c r="Q576" s="64"/>
      <c r="R576" s="64"/>
      <c r="S576" s="68"/>
      <c r="T576" s="64"/>
      <c r="U576" s="64"/>
      <c r="V576" s="64"/>
      <c r="W576" s="64"/>
      <c r="X576" s="64"/>
      <c r="Y576" s="64"/>
      <c r="Z576" s="64"/>
      <c r="AA576" s="64"/>
      <c r="AB576" s="64"/>
      <c r="AC576" s="68"/>
      <c r="AD576" s="64"/>
    </row>
    <row r="577" ht="15.75" customHeight="1">
      <c r="A577" s="64"/>
      <c r="B577" s="64"/>
      <c r="C577" s="64"/>
      <c r="D577" s="64"/>
      <c r="E577" s="64"/>
      <c r="G577" s="68"/>
      <c r="H577" s="67"/>
      <c r="I577" s="64"/>
      <c r="J577" s="64"/>
      <c r="K577" s="64"/>
      <c r="L577" s="64"/>
      <c r="M577" s="64"/>
      <c r="N577" s="64"/>
      <c r="O577" s="64"/>
      <c r="P577" s="64"/>
      <c r="Q577" s="64"/>
      <c r="R577" s="64"/>
      <c r="S577" s="68"/>
      <c r="T577" s="64"/>
      <c r="U577" s="64"/>
      <c r="V577" s="64"/>
      <c r="W577" s="64"/>
      <c r="X577" s="64"/>
      <c r="Y577" s="64"/>
      <c r="Z577" s="64"/>
      <c r="AA577" s="64"/>
      <c r="AB577" s="64"/>
      <c r="AC577" s="68"/>
      <c r="AD577" s="64"/>
    </row>
    <row r="578" ht="15.75" customHeight="1">
      <c r="A578" s="64"/>
      <c r="B578" s="64"/>
      <c r="C578" s="64"/>
      <c r="D578" s="64"/>
      <c r="E578" s="64"/>
      <c r="G578" s="68"/>
      <c r="H578" s="67"/>
      <c r="I578" s="64"/>
      <c r="J578" s="64"/>
      <c r="K578" s="64"/>
      <c r="L578" s="64"/>
      <c r="M578" s="64"/>
      <c r="N578" s="64"/>
      <c r="O578" s="64"/>
      <c r="P578" s="64"/>
      <c r="Q578" s="64"/>
      <c r="R578" s="64"/>
      <c r="S578" s="68"/>
      <c r="T578" s="64"/>
      <c r="U578" s="64"/>
      <c r="V578" s="64"/>
      <c r="W578" s="64"/>
      <c r="X578" s="64"/>
      <c r="Y578" s="64"/>
      <c r="Z578" s="64"/>
      <c r="AA578" s="64"/>
      <c r="AB578" s="64"/>
      <c r="AC578" s="68"/>
      <c r="AD578" s="64"/>
    </row>
    <row r="579" ht="15.75" customHeight="1">
      <c r="A579" s="64"/>
      <c r="B579" s="64"/>
      <c r="C579" s="64"/>
      <c r="D579" s="64"/>
      <c r="E579" s="64"/>
      <c r="G579" s="68"/>
      <c r="H579" s="67"/>
      <c r="I579" s="64"/>
      <c r="J579" s="64"/>
      <c r="K579" s="64"/>
      <c r="L579" s="64"/>
      <c r="M579" s="64"/>
      <c r="N579" s="64"/>
      <c r="O579" s="64"/>
      <c r="P579" s="64"/>
      <c r="Q579" s="64"/>
      <c r="R579" s="64"/>
      <c r="S579" s="68"/>
      <c r="T579" s="64"/>
      <c r="U579" s="64"/>
      <c r="V579" s="64"/>
      <c r="W579" s="64"/>
      <c r="X579" s="64"/>
      <c r="Y579" s="64"/>
      <c r="Z579" s="64"/>
      <c r="AA579" s="64"/>
      <c r="AB579" s="64"/>
      <c r="AC579" s="68"/>
      <c r="AD579" s="64"/>
    </row>
    <row r="580" ht="15.75" customHeight="1">
      <c r="A580" s="64"/>
      <c r="B580" s="64"/>
      <c r="C580" s="64"/>
      <c r="D580" s="64"/>
      <c r="E580" s="64"/>
      <c r="G580" s="68"/>
      <c r="H580" s="67"/>
      <c r="I580" s="64"/>
      <c r="J580" s="64"/>
      <c r="K580" s="64"/>
      <c r="L580" s="64"/>
      <c r="M580" s="64"/>
      <c r="N580" s="64"/>
      <c r="O580" s="64"/>
      <c r="P580" s="64"/>
      <c r="Q580" s="64"/>
      <c r="R580" s="64"/>
      <c r="S580" s="68"/>
      <c r="T580" s="64"/>
      <c r="U580" s="64"/>
      <c r="V580" s="64"/>
      <c r="W580" s="64"/>
      <c r="X580" s="64"/>
      <c r="Y580" s="64"/>
      <c r="Z580" s="64"/>
      <c r="AA580" s="64"/>
      <c r="AB580" s="64"/>
      <c r="AC580" s="68"/>
      <c r="AD580" s="64"/>
    </row>
    <row r="581" ht="15.75" customHeight="1">
      <c r="A581" s="64"/>
      <c r="B581" s="64"/>
      <c r="C581" s="64"/>
      <c r="D581" s="64"/>
      <c r="E581" s="64"/>
      <c r="G581" s="68"/>
      <c r="H581" s="67"/>
      <c r="I581" s="64"/>
      <c r="J581" s="64"/>
      <c r="K581" s="64"/>
      <c r="L581" s="64"/>
      <c r="M581" s="64"/>
      <c r="N581" s="64"/>
      <c r="O581" s="64"/>
      <c r="P581" s="64"/>
      <c r="Q581" s="64"/>
      <c r="R581" s="64"/>
      <c r="S581" s="68"/>
      <c r="T581" s="64"/>
      <c r="U581" s="64"/>
      <c r="V581" s="64"/>
      <c r="W581" s="64"/>
      <c r="X581" s="64"/>
      <c r="Y581" s="64"/>
      <c r="Z581" s="64"/>
      <c r="AA581" s="64"/>
      <c r="AB581" s="64"/>
      <c r="AC581" s="68"/>
      <c r="AD581" s="64"/>
    </row>
    <row r="582" ht="15.75" customHeight="1">
      <c r="A582" s="64"/>
      <c r="B582" s="64"/>
      <c r="C582" s="64"/>
      <c r="D582" s="64"/>
      <c r="E582" s="64"/>
      <c r="G582" s="68"/>
      <c r="H582" s="67"/>
      <c r="I582" s="64"/>
      <c r="J582" s="64"/>
      <c r="K582" s="64"/>
      <c r="L582" s="64"/>
      <c r="M582" s="64"/>
      <c r="N582" s="64"/>
      <c r="O582" s="64"/>
      <c r="P582" s="64"/>
      <c r="Q582" s="64"/>
      <c r="R582" s="64"/>
      <c r="S582" s="68"/>
      <c r="T582" s="64"/>
      <c r="U582" s="64"/>
      <c r="V582" s="64"/>
      <c r="W582" s="64"/>
      <c r="X582" s="64"/>
      <c r="Y582" s="64"/>
      <c r="Z582" s="64"/>
      <c r="AA582" s="64"/>
      <c r="AB582" s="64"/>
      <c r="AC582" s="68"/>
      <c r="AD582" s="64"/>
    </row>
    <row r="583" ht="15.75" customHeight="1">
      <c r="A583" s="64"/>
      <c r="B583" s="64"/>
      <c r="C583" s="64"/>
      <c r="D583" s="64"/>
      <c r="E583" s="64"/>
      <c r="G583" s="68"/>
      <c r="H583" s="67"/>
      <c r="I583" s="64"/>
      <c r="J583" s="64"/>
      <c r="K583" s="64"/>
      <c r="L583" s="64"/>
      <c r="M583" s="64"/>
      <c r="N583" s="64"/>
      <c r="O583" s="64"/>
      <c r="P583" s="64"/>
      <c r="Q583" s="64"/>
      <c r="R583" s="64"/>
      <c r="S583" s="68"/>
      <c r="T583" s="64"/>
      <c r="U583" s="64"/>
      <c r="V583" s="64"/>
      <c r="W583" s="64"/>
      <c r="X583" s="64"/>
      <c r="Y583" s="64"/>
      <c r="Z583" s="64"/>
      <c r="AA583" s="64"/>
      <c r="AB583" s="64"/>
      <c r="AC583" s="68"/>
      <c r="AD583" s="64"/>
    </row>
    <row r="584" ht="15.75" customHeight="1">
      <c r="A584" s="64"/>
      <c r="B584" s="64"/>
      <c r="C584" s="64"/>
      <c r="D584" s="64"/>
      <c r="E584" s="64"/>
      <c r="G584" s="68"/>
      <c r="H584" s="67"/>
      <c r="I584" s="64"/>
      <c r="J584" s="64"/>
      <c r="K584" s="64"/>
      <c r="L584" s="64"/>
      <c r="M584" s="64"/>
      <c r="N584" s="64"/>
      <c r="O584" s="64"/>
      <c r="P584" s="64"/>
      <c r="Q584" s="64"/>
      <c r="R584" s="64"/>
      <c r="S584" s="68"/>
      <c r="T584" s="64"/>
      <c r="U584" s="64"/>
      <c r="V584" s="64"/>
      <c r="W584" s="64"/>
      <c r="X584" s="64"/>
      <c r="Y584" s="64"/>
      <c r="Z584" s="64"/>
      <c r="AA584" s="64"/>
      <c r="AB584" s="64"/>
      <c r="AC584" s="68"/>
      <c r="AD584" s="64"/>
    </row>
    <row r="585" ht="15.75" customHeight="1">
      <c r="A585" s="64"/>
      <c r="B585" s="64"/>
      <c r="C585" s="64"/>
      <c r="D585" s="64"/>
      <c r="E585" s="64"/>
      <c r="G585" s="68"/>
      <c r="H585" s="67"/>
      <c r="I585" s="64"/>
      <c r="J585" s="64"/>
      <c r="K585" s="64"/>
      <c r="L585" s="64"/>
      <c r="M585" s="64"/>
      <c r="N585" s="64"/>
      <c r="O585" s="64"/>
      <c r="P585" s="64"/>
      <c r="Q585" s="64"/>
      <c r="R585" s="64"/>
      <c r="S585" s="68"/>
      <c r="T585" s="64"/>
      <c r="U585" s="64"/>
      <c r="V585" s="64"/>
      <c r="W585" s="64"/>
      <c r="X585" s="64"/>
      <c r="Y585" s="64"/>
      <c r="Z585" s="64"/>
      <c r="AA585" s="64"/>
      <c r="AB585" s="64"/>
      <c r="AC585" s="68"/>
      <c r="AD585" s="64"/>
    </row>
    <row r="586" ht="15.75" customHeight="1">
      <c r="A586" s="64"/>
      <c r="B586" s="64"/>
      <c r="C586" s="64"/>
      <c r="D586" s="64"/>
      <c r="E586" s="64"/>
      <c r="G586" s="68"/>
      <c r="H586" s="67"/>
      <c r="I586" s="64"/>
      <c r="J586" s="64"/>
      <c r="K586" s="64"/>
      <c r="L586" s="64"/>
      <c r="M586" s="64"/>
      <c r="N586" s="64"/>
      <c r="O586" s="64"/>
      <c r="P586" s="64"/>
      <c r="Q586" s="64"/>
      <c r="R586" s="64"/>
      <c r="S586" s="68"/>
      <c r="T586" s="64"/>
      <c r="U586" s="64"/>
      <c r="V586" s="64"/>
      <c r="W586" s="64"/>
      <c r="X586" s="64"/>
      <c r="Y586" s="64"/>
      <c r="Z586" s="64"/>
      <c r="AA586" s="64"/>
      <c r="AB586" s="64"/>
      <c r="AC586" s="68"/>
      <c r="AD586" s="64"/>
    </row>
    <row r="587" ht="15.75" customHeight="1">
      <c r="A587" s="64"/>
      <c r="B587" s="64"/>
      <c r="C587" s="64"/>
      <c r="D587" s="64"/>
      <c r="E587" s="64"/>
      <c r="G587" s="68"/>
      <c r="H587" s="67"/>
      <c r="I587" s="64"/>
      <c r="J587" s="64"/>
      <c r="K587" s="64"/>
      <c r="L587" s="64"/>
      <c r="M587" s="64"/>
      <c r="N587" s="64"/>
      <c r="O587" s="64"/>
      <c r="P587" s="64"/>
      <c r="Q587" s="64"/>
      <c r="R587" s="64"/>
      <c r="S587" s="68"/>
      <c r="T587" s="64"/>
      <c r="U587" s="64"/>
      <c r="V587" s="64"/>
      <c r="W587" s="64"/>
      <c r="X587" s="64"/>
      <c r="Y587" s="64"/>
      <c r="Z587" s="64"/>
      <c r="AA587" s="64"/>
      <c r="AB587" s="64"/>
      <c r="AC587" s="68"/>
      <c r="AD587" s="64"/>
    </row>
    <row r="588" ht="15.75" customHeight="1">
      <c r="A588" s="64"/>
      <c r="B588" s="64"/>
      <c r="C588" s="64"/>
      <c r="D588" s="64"/>
      <c r="E588" s="64"/>
      <c r="G588" s="68"/>
      <c r="H588" s="67"/>
      <c r="I588" s="64"/>
      <c r="J588" s="64"/>
      <c r="K588" s="64"/>
      <c r="L588" s="64"/>
      <c r="M588" s="64"/>
      <c r="N588" s="64"/>
      <c r="O588" s="64"/>
      <c r="P588" s="64"/>
      <c r="Q588" s="64"/>
      <c r="R588" s="64"/>
      <c r="S588" s="68"/>
      <c r="T588" s="64"/>
      <c r="U588" s="64"/>
      <c r="V588" s="64"/>
      <c r="W588" s="64"/>
      <c r="X588" s="64"/>
      <c r="Y588" s="64"/>
      <c r="Z588" s="64"/>
      <c r="AA588" s="64"/>
      <c r="AB588" s="64"/>
      <c r="AC588" s="68"/>
      <c r="AD588" s="64"/>
    </row>
    <row r="589" ht="15.75" customHeight="1">
      <c r="A589" s="64"/>
      <c r="B589" s="64"/>
      <c r="C589" s="64"/>
      <c r="D589" s="64"/>
      <c r="E589" s="64"/>
      <c r="G589" s="68"/>
      <c r="H589" s="67"/>
      <c r="I589" s="64"/>
      <c r="J589" s="64"/>
      <c r="K589" s="64"/>
      <c r="L589" s="64"/>
      <c r="M589" s="64"/>
      <c r="N589" s="64"/>
      <c r="O589" s="64"/>
      <c r="P589" s="64"/>
      <c r="Q589" s="64"/>
      <c r="R589" s="64"/>
      <c r="S589" s="68"/>
      <c r="T589" s="64"/>
      <c r="U589" s="64"/>
      <c r="V589" s="64"/>
      <c r="W589" s="64"/>
      <c r="X589" s="64"/>
      <c r="Y589" s="64"/>
      <c r="Z589" s="64"/>
      <c r="AA589" s="64"/>
      <c r="AB589" s="64"/>
      <c r="AC589" s="68"/>
      <c r="AD589" s="64"/>
    </row>
    <row r="590" ht="15.75" customHeight="1">
      <c r="A590" s="64"/>
      <c r="B590" s="64"/>
      <c r="C590" s="64"/>
      <c r="D590" s="64"/>
      <c r="E590" s="64"/>
      <c r="G590" s="68"/>
      <c r="H590" s="67"/>
      <c r="I590" s="64"/>
      <c r="J590" s="64"/>
      <c r="K590" s="64"/>
      <c r="L590" s="64"/>
      <c r="M590" s="64"/>
      <c r="N590" s="64"/>
      <c r="O590" s="64"/>
      <c r="P590" s="64"/>
      <c r="Q590" s="64"/>
      <c r="R590" s="64"/>
      <c r="S590" s="68"/>
      <c r="T590" s="64"/>
      <c r="U590" s="64"/>
      <c r="V590" s="64"/>
      <c r="W590" s="64"/>
      <c r="X590" s="64"/>
      <c r="Y590" s="64"/>
      <c r="Z590" s="64"/>
      <c r="AA590" s="64"/>
      <c r="AB590" s="64"/>
      <c r="AC590" s="68"/>
      <c r="AD590" s="64"/>
    </row>
    <row r="591" ht="15.75" customHeight="1">
      <c r="A591" s="64"/>
      <c r="B591" s="64"/>
      <c r="C591" s="64"/>
      <c r="D591" s="64"/>
      <c r="E591" s="64"/>
      <c r="G591" s="68"/>
      <c r="H591" s="67"/>
      <c r="I591" s="64"/>
      <c r="J591" s="64"/>
      <c r="K591" s="64"/>
      <c r="L591" s="64"/>
      <c r="M591" s="64"/>
      <c r="N591" s="64"/>
      <c r="O591" s="64"/>
      <c r="P591" s="64"/>
      <c r="Q591" s="64"/>
      <c r="R591" s="64"/>
      <c r="S591" s="68"/>
      <c r="T591" s="64"/>
      <c r="U591" s="64"/>
      <c r="V591" s="64"/>
      <c r="W591" s="64"/>
      <c r="X591" s="64"/>
      <c r="Y591" s="64"/>
      <c r="Z591" s="64"/>
      <c r="AA591" s="64"/>
      <c r="AB591" s="64"/>
      <c r="AC591" s="68"/>
      <c r="AD591" s="64"/>
    </row>
    <row r="592" ht="15.75" customHeight="1">
      <c r="A592" s="64"/>
      <c r="B592" s="64"/>
      <c r="C592" s="64"/>
      <c r="D592" s="64"/>
      <c r="E592" s="64"/>
      <c r="G592" s="68"/>
      <c r="H592" s="67"/>
      <c r="I592" s="64"/>
      <c r="J592" s="64"/>
      <c r="K592" s="64"/>
      <c r="L592" s="64"/>
      <c r="M592" s="64"/>
      <c r="N592" s="64"/>
      <c r="O592" s="64"/>
      <c r="P592" s="64"/>
      <c r="Q592" s="64"/>
      <c r="R592" s="64"/>
      <c r="S592" s="68"/>
      <c r="T592" s="64"/>
      <c r="U592" s="64"/>
      <c r="V592" s="64"/>
      <c r="W592" s="64"/>
      <c r="X592" s="64"/>
      <c r="Y592" s="64"/>
      <c r="Z592" s="64"/>
      <c r="AA592" s="64"/>
      <c r="AB592" s="64"/>
      <c r="AC592" s="68"/>
      <c r="AD592" s="64"/>
    </row>
    <row r="593" ht="15.75" customHeight="1">
      <c r="A593" s="64"/>
      <c r="B593" s="64"/>
      <c r="C593" s="64"/>
      <c r="D593" s="64"/>
      <c r="E593" s="64"/>
      <c r="G593" s="68"/>
      <c r="H593" s="67"/>
      <c r="I593" s="64"/>
      <c r="J593" s="64"/>
      <c r="K593" s="64"/>
      <c r="L593" s="64"/>
      <c r="M593" s="64"/>
      <c r="N593" s="64"/>
      <c r="O593" s="64"/>
      <c r="P593" s="64"/>
      <c r="Q593" s="64"/>
      <c r="R593" s="64"/>
      <c r="S593" s="68"/>
      <c r="T593" s="64"/>
      <c r="U593" s="64"/>
      <c r="V593" s="64"/>
      <c r="W593" s="64"/>
      <c r="X593" s="64"/>
      <c r="Y593" s="64"/>
      <c r="Z593" s="64"/>
      <c r="AA593" s="64"/>
      <c r="AB593" s="64"/>
      <c r="AC593" s="68"/>
      <c r="AD593" s="64"/>
    </row>
    <row r="594" ht="15.75" customHeight="1">
      <c r="A594" s="64"/>
      <c r="B594" s="64"/>
      <c r="C594" s="64"/>
      <c r="D594" s="64"/>
      <c r="E594" s="64"/>
      <c r="G594" s="68"/>
      <c r="H594" s="67"/>
      <c r="I594" s="64"/>
      <c r="J594" s="64"/>
      <c r="K594" s="64"/>
      <c r="L594" s="64"/>
      <c r="M594" s="64"/>
      <c r="N594" s="64"/>
      <c r="O594" s="64"/>
      <c r="P594" s="64"/>
      <c r="Q594" s="64"/>
      <c r="R594" s="64"/>
      <c r="S594" s="68"/>
      <c r="T594" s="64"/>
      <c r="U594" s="64"/>
      <c r="V594" s="64"/>
      <c r="W594" s="64"/>
      <c r="X594" s="64"/>
      <c r="Y594" s="64"/>
      <c r="Z594" s="64"/>
      <c r="AA594" s="64"/>
      <c r="AB594" s="64"/>
      <c r="AC594" s="68"/>
      <c r="AD594" s="64"/>
    </row>
    <row r="595" ht="15.75" customHeight="1">
      <c r="A595" s="64"/>
      <c r="B595" s="64"/>
      <c r="C595" s="64"/>
      <c r="D595" s="64"/>
      <c r="E595" s="64"/>
      <c r="G595" s="68"/>
      <c r="H595" s="67"/>
      <c r="I595" s="64"/>
      <c r="J595" s="64"/>
      <c r="K595" s="64"/>
      <c r="L595" s="64"/>
      <c r="M595" s="64"/>
      <c r="N595" s="64"/>
      <c r="O595" s="64"/>
      <c r="P595" s="64"/>
      <c r="Q595" s="64"/>
      <c r="R595" s="64"/>
      <c r="S595" s="68"/>
      <c r="T595" s="64"/>
      <c r="U595" s="64"/>
      <c r="V595" s="64"/>
      <c r="W595" s="64"/>
      <c r="X595" s="64"/>
      <c r="Y595" s="64"/>
      <c r="Z595" s="64"/>
      <c r="AA595" s="64"/>
      <c r="AB595" s="64"/>
      <c r="AC595" s="68"/>
      <c r="AD595" s="64"/>
    </row>
    <row r="596" ht="15.75" customHeight="1">
      <c r="A596" s="64"/>
      <c r="B596" s="64"/>
      <c r="C596" s="64"/>
      <c r="D596" s="64"/>
      <c r="E596" s="64"/>
      <c r="G596" s="68"/>
      <c r="H596" s="67"/>
      <c r="I596" s="64"/>
      <c r="J596" s="64"/>
      <c r="K596" s="64"/>
      <c r="L596" s="64"/>
      <c r="M596" s="64"/>
      <c r="N596" s="64"/>
      <c r="O596" s="64"/>
      <c r="P596" s="64"/>
      <c r="Q596" s="64"/>
      <c r="R596" s="64"/>
      <c r="S596" s="68"/>
      <c r="T596" s="64"/>
      <c r="U596" s="64"/>
      <c r="V596" s="64"/>
      <c r="W596" s="64"/>
      <c r="X596" s="64"/>
      <c r="Y596" s="64"/>
      <c r="Z596" s="64"/>
      <c r="AA596" s="64"/>
      <c r="AB596" s="64"/>
      <c r="AC596" s="68"/>
      <c r="AD596" s="64"/>
    </row>
    <row r="597" ht="15.75" customHeight="1">
      <c r="A597" s="64"/>
      <c r="B597" s="64"/>
      <c r="C597" s="64"/>
      <c r="D597" s="64"/>
      <c r="E597" s="64"/>
      <c r="G597" s="68"/>
      <c r="H597" s="67"/>
      <c r="I597" s="64"/>
      <c r="J597" s="64"/>
      <c r="K597" s="64"/>
      <c r="L597" s="64"/>
      <c r="M597" s="64"/>
      <c r="N597" s="64"/>
      <c r="O597" s="64"/>
      <c r="P597" s="64"/>
      <c r="Q597" s="64"/>
      <c r="R597" s="64"/>
      <c r="S597" s="68"/>
      <c r="T597" s="64"/>
      <c r="U597" s="64"/>
      <c r="V597" s="64"/>
      <c r="W597" s="64"/>
      <c r="X597" s="64"/>
      <c r="Y597" s="64"/>
      <c r="Z597" s="64"/>
      <c r="AA597" s="64"/>
      <c r="AB597" s="64"/>
      <c r="AC597" s="68"/>
      <c r="AD597" s="64"/>
    </row>
    <row r="598" ht="15.75" customHeight="1">
      <c r="A598" s="64"/>
      <c r="B598" s="64"/>
      <c r="C598" s="64"/>
      <c r="D598" s="64"/>
      <c r="E598" s="64"/>
      <c r="G598" s="68"/>
      <c r="H598" s="67"/>
      <c r="I598" s="64"/>
      <c r="J598" s="64"/>
      <c r="K598" s="64"/>
      <c r="L598" s="64"/>
      <c r="M598" s="64"/>
      <c r="N598" s="64"/>
      <c r="O598" s="64"/>
      <c r="P598" s="64"/>
      <c r="Q598" s="64"/>
      <c r="R598" s="64"/>
      <c r="S598" s="68"/>
      <c r="T598" s="64"/>
      <c r="U598" s="64"/>
      <c r="V598" s="64"/>
      <c r="W598" s="64"/>
      <c r="X598" s="64"/>
      <c r="Y598" s="64"/>
      <c r="Z598" s="64"/>
      <c r="AA598" s="64"/>
      <c r="AB598" s="64"/>
      <c r="AC598" s="68"/>
      <c r="AD598" s="64"/>
    </row>
    <row r="599" ht="15.75" customHeight="1">
      <c r="A599" s="64"/>
      <c r="B599" s="64"/>
      <c r="C599" s="64"/>
      <c r="D599" s="64"/>
      <c r="E599" s="64"/>
      <c r="G599" s="68"/>
      <c r="H599" s="67"/>
      <c r="I599" s="64"/>
      <c r="J599" s="64"/>
      <c r="K599" s="64"/>
      <c r="L599" s="64"/>
      <c r="M599" s="64"/>
      <c r="N599" s="64"/>
      <c r="O599" s="64"/>
      <c r="P599" s="64"/>
      <c r="Q599" s="64"/>
      <c r="R599" s="64"/>
      <c r="S599" s="68"/>
      <c r="T599" s="64"/>
      <c r="U599" s="64"/>
      <c r="V599" s="64"/>
      <c r="W599" s="64"/>
      <c r="X599" s="64"/>
      <c r="Y599" s="64"/>
      <c r="Z599" s="64"/>
      <c r="AA599" s="64"/>
      <c r="AB599" s="64"/>
      <c r="AC599" s="68"/>
      <c r="AD599" s="64"/>
    </row>
    <row r="600" ht="15.75" customHeight="1">
      <c r="A600" s="64"/>
      <c r="B600" s="64"/>
      <c r="C600" s="64"/>
      <c r="D600" s="64"/>
      <c r="E600" s="64"/>
      <c r="G600" s="68"/>
      <c r="H600" s="67"/>
      <c r="I600" s="64"/>
      <c r="J600" s="64"/>
      <c r="K600" s="64"/>
      <c r="L600" s="64"/>
      <c r="M600" s="64"/>
      <c r="N600" s="64"/>
      <c r="O600" s="64"/>
      <c r="P600" s="64"/>
      <c r="Q600" s="64"/>
      <c r="R600" s="64"/>
      <c r="S600" s="68"/>
      <c r="T600" s="64"/>
      <c r="U600" s="64"/>
      <c r="V600" s="64"/>
      <c r="W600" s="64"/>
      <c r="X600" s="64"/>
      <c r="Y600" s="64"/>
      <c r="Z600" s="64"/>
      <c r="AA600" s="64"/>
      <c r="AB600" s="64"/>
      <c r="AC600" s="68"/>
      <c r="AD600" s="64"/>
    </row>
    <row r="601" ht="15.75" customHeight="1">
      <c r="A601" s="64"/>
      <c r="B601" s="64"/>
      <c r="C601" s="64"/>
      <c r="D601" s="64"/>
      <c r="E601" s="64"/>
      <c r="G601" s="68"/>
      <c r="H601" s="67"/>
      <c r="I601" s="64"/>
      <c r="J601" s="64"/>
      <c r="K601" s="64"/>
      <c r="L601" s="64"/>
      <c r="M601" s="64"/>
      <c r="N601" s="64"/>
      <c r="O601" s="64"/>
      <c r="P601" s="64"/>
      <c r="Q601" s="64"/>
      <c r="R601" s="64"/>
      <c r="S601" s="68"/>
      <c r="T601" s="64"/>
      <c r="U601" s="64"/>
      <c r="V601" s="64"/>
      <c r="W601" s="64"/>
      <c r="X601" s="64"/>
      <c r="Y601" s="64"/>
      <c r="Z601" s="64"/>
      <c r="AA601" s="64"/>
      <c r="AB601" s="64"/>
      <c r="AC601" s="68"/>
      <c r="AD601" s="64"/>
    </row>
    <row r="602" ht="15.75" customHeight="1">
      <c r="A602" s="64"/>
      <c r="B602" s="64"/>
      <c r="C602" s="64"/>
      <c r="D602" s="64"/>
      <c r="E602" s="64"/>
      <c r="G602" s="68"/>
      <c r="H602" s="67"/>
      <c r="I602" s="64"/>
      <c r="J602" s="64"/>
      <c r="K602" s="64"/>
      <c r="L602" s="64"/>
      <c r="M602" s="64"/>
      <c r="N602" s="64"/>
      <c r="O602" s="64"/>
      <c r="P602" s="64"/>
      <c r="Q602" s="64"/>
      <c r="R602" s="64"/>
      <c r="S602" s="68"/>
      <c r="T602" s="64"/>
      <c r="U602" s="64"/>
      <c r="V602" s="64"/>
      <c r="W602" s="64"/>
      <c r="X602" s="64"/>
      <c r="Y602" s="64"/>
      <c r="Z602" s="64"/>
      <c r="AA602" s="64"/>
      <c r="AB602" s="64"/>
      <c r="AC602" s="68"/>
      <c r="AD602" s="64"/>
    </row>
    <row r="603" ht="15.75" customHeight="1">
      <c r="A603" s="64"/>
      <c r="B603" s="64"/>
      <c r="C603" s="64"/>
      <c r="D603" s="64"/>
      <c r="E603" s="64"/>
      <c r="G603" s="68"/>
      <c r="H603" s="67"/>
      <c r="I603" s="64"/>
      <c r="J603" s="64"/>
      <c r="K603" s="64"/>
      <c r="L603" s="64"/>
      <c r="M603" s="64"/>
      <c r="N603" s="64"/>
      <c r="O603" s="64"/>
      <c r="P603" s="64"/>
      <c r="Q603" s="64"/>
      <c r="R603" s="64"/>
      <c r="S603" s="68"/>
      <c r="T603" s="64"/>
      <c r="U603" s="64"/>
      <c r="V603" s="64"/>
      <c r="W603" s="64"/>
      <c r="X603" s="64"/>
      <c r="Y603" s="64"/>
      <c r="Z603" s="64"/>
      <c r="AA603" s="64"/>
      <c r="AB603" s="64"/>
      <c r="AC603" s="68"/>
      <c r="AD603" s="64"/>
    </row>
    <row r="604" ht="15.75" customHeight="1">
      <c r="A604" s="64"/>
      <c r="B604" s="64"/>
      <c r="C604" s="64"/>
      <c r="D604" s="64"/>
      <c r="E604" s="64"/>
      <c r="G604" s="68"/>
      <c r="H604" s="67"/>
      <c r="I604" s="64"/>
      <c r="J604" s="64"/>
      <c r="K604" s="64"/>
      <c r="L604" s="64"/>
      <c r="M604" s="64"/>
      <c r="N604" s="64"/>
      <c r="O604" s="64"/>
      <c r="P604" s="64"/>
      <c r="Q604" s="64"/>
      <c r="R604" s="64"/>
      <c r="S604" s="68"/>
      <c r="T604" s="64"/>
      <c r="U604" s="64"/>
      <c r="V604" s="64"/>
      <c r="W604" s="64"/>
      <c r="X604" s="64"/>
      <c r="Y604" s="64"/>
      <c r="Z604" s="64"/>
      <c r="AA604" s="64"/>
      <c r="AB604" s="64"/>
      <c r="AC604" s="68"/>
      <c r="AD604" s="64"/>
    </row>
    <row r="605" ht="15.75" customHeight="1">
      <c r="A605" s="64"/>
      <c r="B605" s="64"/>
      <c r="C605" s="64"/>
      <c r="D605" s="64"/>
      <c r="E605" s="64"/>
      <c r="G605" s="68"/>
      <c r="H605" s="67"/>
      <c r="I605" s="64"/>
      <c r="J605" s="64"/>
      <c r="K605" s="64"/>
      <c r="L605" s="64"/>
      <c r="M605" s="64"/>
      <c r="N605" s="64"/>
      <c r="O605" s="64"/>
      <c r="P605" s="64"/>
      <c r="Q605" s="64"/>
      <c r="R605" s="64"/>
      <c r="S605" s="68"/>
      <c r="T605" s="64"/>
      <c r="U605" s="64"/>
      <c r="V605" s="64"/>
      <c r="W605" s="64"/>
      <c r="X605" s="64"/>
      <c r="Y605" s="64"/>
      <c r="Z605" s="64"/>
      <c r="AA605" s="64"/>
      <c r="AB605" s="64"/>
      <c r="AC605" s="68"/>
      <c r="AD605" s="64"/>
    </row>
    <row r="606" ht="15.75" customHeight="1">
      <c r="A606" s="64"/>
      <c r="B606" s="64"/>
      <c r="C606" s="64"/>
      <c r="D606" s="64"/>
      <c r="E606" s="64"/>
      <c r="G606" s="68"/>
      <c r="H606" s="67"/>
      <c r="I606" s="64"/>
      <c r="J606" s="64"/>
      <c r="K606" s="64"/>
      <c r="L606" s="64"/>
      <c r="M606" s="64"/>
      <c r="N606" s="64"/>
      <c r="O606" s="64"/>
      <c r="P606" s="64"/>
      <c r="Q606" s="64"/>
      <c r="R606" s="64"/>
      <c r="S606" s="68"/>
      <c r="T606" s="64"/>
      <c r="U606" s="64"/>
      <c r="V606" s="64"/>
      <c r="W606" s="64"/>
      <c r="X606" s="64"/>
      <c r="Y606" s="64"/>
      <c r="Z606" s="64"/>
      <c r="AA606" s="64"/>
      <c r="AB606" s="64"/>
      <c r="AC606" s="68"/>
      <c r="AD606" s="64"/>
    </row>
    <row r="607" ht="15.75" customHeight="1">
      <c r="A607" s="64"/>
      <c r="B607" s="64"/>
      <c r="C607" s="64"/>
      <c r="D607" s="64"/>
      <c r="E607" s="64"/>
      <c r="G607" s="68"/>
      <c r="H607" s="67"/>
      <c r="I607" s="64"/>
      <c r="J607" s="64"/>
      <c r="K607" s="64"/>
      <c r="L607" s="64"/>
      <c r="M607" s="64"/>
      <c r="N607" s="64"/>
      <c r="O607" s="64"/>
      <c r="P607" s="64"/>
      <c r="Q607" s="64"/>
      <c r="R607" s="64"/>
      <c r="S607" s="68"/>
      <c r="T607" s="64"/>
      <c r="U607" s="64"/>
      <c r="V607" s="64"/>
      <c r="W607" s="64"/>
      <c r="X607" s="64"/>
      <c r="Y607" s="64"/>
      <c r="Z607" s="64"/>
      <c r="AA607" s="64"/>
      <c r="AB607" s="64"/>
      <c r="AC607" s="68"/>
      <c r="AD607" s="64"/>
    </row>
    <row r="608" ht="15.75" customHeight="1">
      <c r="A608" s="64"/>
      <c r="B608" s="64"/>
      <c r="C608" s="64"/>
      <c r="D608" s="64"/>
      <c r="E608" s="64"/>
      <c r="G608" s="68"/>
      <c r="H608" s="67"/>
      <c r="I608" s="64"/>
      <c r="J608" s="64"/>
      <c r="K608" s="64"/>
      <c r="L608" s="64"/>
      <c r="M608" s="64"/>
      <c r="N608" s="64"/>
      <c r="O608" s="64"/>
      <c r="P608" s="64"/>
      <c r="Q608" s="64"/>
      <c r="R608" s="64"/>
      <c r="S608" s="68"/>
      <c r="T608" s="64"/>
      <c r="U608" s="64"/>
      <c r="V608" s="64"/>
      <c r="W608" s="64"/>
      <c r="X608" s="64"/>
      <c r="Y608" s="64"/>
      <c r="Z608" s="64"/>
      <c r="AA608" s="64"/>
      <c r="AB608" s="64"/>
      <c r="AC608" s="68"/>
      <c r="AD608" s="64"/>
    </row>
    <row r="609" ht="15.75" customHeight="1">
      <c r="A609" s="64"/>
      <c r="B609" s="64"/>
      <c r="C609" s="64"/>
      <c r="D609" s="64"/>
      <c r="E609" s="64"/>
      <c r="G609" s="68"/>
      <c r="H609" s="67"/>
      <c r="I609" s="64"/>
      <c r="J609" s="64"/>
      <c r="K609" s="64"/>
      <c r="L609" s="64"/>
      <c r="M609" s="64"/>
      <c r="N609" s="64"/>
      <c r="O609" s="64"/>
      <c r="P609" s="64"/>
      <c r="Q609" s="64"/>
      <c r="R609" s="64"/>
      <c r="S609" s="68"/>
      <c r="T609" s="64"/>
      <c r="U609" s="64"/>
      <c r="V609" s="64"/>
      <c r="W609" s="64"/>
      <c r="X609" s="64"/>
      <c r="Y609" s="64"/>
      <c r="Z609" s="64"/>
      <c r="AA609" s="64"/>
      <c r="AB609" s="64"/>
      <c r="AC609" s="68"/>
      <c r="AD609" s="64"/>
    </row>
    <row r="610" ht="15.75" customHeight="1">
      <c r="A610" s="64"/>
      <c r="B610" s="64"/>
      <c r="C610" s="64"/>
      <c r="D610" s="64"/>
      <c r="E610" s="64"/>
      <c r="G610" s="68"/>
      <c r="H610" s="67"/>
      <c r="I610" s="64"/>
      <c r="J610" s="64"/>
      <c r="K610" s="64"/>
      <c r="L610" s="64"/>
      <c r="M610" s="64"/>
      <c r="N610" s="64"/>
      <c r="O610" s="64"/>
      <c r="P610" s="64"/>
      <c r="Q610" s="64"/>
      <c r="R610" s="64"/>
      <c r="S610" s="68"/>
      <c r="T610" s="64"/>
      <c r="U610" s="64"/>
      <c r="V610" s="64"/>
      <c r="W610" s="64"/>
      <c r="X610" s="64"/>
      <c r="Y610" s="64"/>
      <c r="Z610" s="64"/>
      <c r="AA610" s="64"/>
      <c r="AB610" s="64"/>
      <c r="AC610" s="68"/>
      <c r="AD610" s="64"/>
    </row>
    <row r="611" ht="15.75" customHeight="1">
      <c r="A611" s="64"/>
      <c r="B611" s="64"/>
      <c r="C611" s="64"/>
      <c r="D611" s="64"/>
      <c r="E611" s="64"/>
      <c r="G611" s="68"/>
      <c r="H611" s="67"/>
      <c r="I611" s="64"/>
      <c r="J611" s="64"/>
      <c r="K611" s="64"/>
      <c r="L611" s="64"/>
      <c r="M611" s="64"/>
      <c r="N611" s="64"/>
      <c r="O611" s="64"/>
      <c r="P611" s="64"/>
      <c r="Q611" s="64"/>
      <c r="R611" s="64"/>
      <c r="S611" s="68"/>
      <c r="T611" s="64"/>
      <c r="U611" s="64"/>
      <c r="V611" s="64"/>
      <c r="W611" s="64"/>
      <c r="X611" s="64"/>
      <c r="Y611" s="64"/>
      <c r="Z611" s="64"/>
      <c r="AA611" s="64"/>
      <c r="AB611" s="64"/>
      <c r="AC611" s="68"/>
      <c r="AD611" s="64"/>
    </row>
    <row r="612" ht="15.75" customHeight="1">
      <c r="A612" s="64"/>
      <c r="B612" s="64"/>
      <c r="C612" s="64"/>
      <c r="D612" s="64"/>
      <c r="E612" s="64"/>
      <c r="G612" s="68"/>
      <c r="H612" s="67"/>
      <c r="I612" s="64"/>
      <c r="J612" s="64"/>
      <c r="K612" s="64"/>
      <c r="L612" s="64"/>
      <c r="M612" s="64"/>
      <c r="N612" s="64"/>
      <c r="O612" s="64"/>
      <c r="P612" s="64"/>
      <c r="Q612" s="64"/>
      <c r="R612" s="64"/>
      <c r="S612" s="68"/>
      <c r="T612" s="64"/>
      <c r="U612" s="64"/>
      <c r="V612" s="64"/>
      <c r="W612" s="64"/>
      <c r="X612" s="64"/>
      <c r="Y612" s="64"/>
      <c r="Z612" s="64"/>
      <c r="AA612" s="64"/>
      <c r="AB612" s="64"/>
      <c r="AC612" s="68"/>
      <c r="AD612" s="64"/>
    </row>
    <row r="613" ht="15.75" customHeight="1">
      <c r="A613" s="64"/>
      <c r="B613" s="64"/>
      <c r="C613" s="64"/>
      <c r="D613" s="64"/>
      <c r="E613" s="64"/>
      <c r="G613" s="68"/>
      <c r="H613" s="67"/>
      <c r="I613" s="64"/>
      <c r="J613" s="64"/>
      <c r="K613" s="64"/>
      <c r="L613" s="64"/>
      <c r="M613" s="64"/>
      <c r="N613" s="64"/>
      <c r="O613" s="64"/>
      <c r="P613" s="64"/>
      <c r="Q613" s="64"/>
      <c r="R613" s="64"/>
      <c r="S613" s="68"/>
      <c r="T613" s="64"/>
      <c r="U613" s="64"/>
      <c r="V613" s="64"/>
      <c r="W613" s="64"/>
      <c r="X613" s="64"/>
      <c r="Y613" s="64"/>
      <c r="Z613" s="64"/>
      <c r="AA613" s="64"/>
      <c r="AB613" s="64"/>
      <c r="AC613" s="68"/>
      <c r="AD613" s="64"/>
    </row>
    <row r="614" ht="15.75" customHeight="1">
      <c r="A614" s="64"/>
      <c r="B614" s="64"/>
      <c r="C614" s="64"/>
      <c r="D614" s="64"/>
      <c r="E614" s="64"/>
      <c r="G614" s="68"/>
      <c r="H614" s="67"/>
      <c r="I614" s="64"/>
      <c r="J614" s="64"/>
      <c r="K614" s="64"/>
      <c r="L614" s="64"/>
      <c r="M614" s="64"/>
      <c r="N614" s="64"/>
      <c r="O614" s="64"/>
      <c r="P614" s="64"/>
      <c r="Q614" s="64"/>
      <c r="R614" s="64"/>
      <c r="S614" s="68"/>
      <c r="T614" s="64"/>
      <c r="U614" s="64"/>
      <c r="V614" s="64"/>
      <c r="W614" s="64"/>
      <c r="X614" s="64"/>
      <c r="Y614" s="64"/>
      <c r="Z614" s="64"/>
      <c r="AA614" s="64"/>
      <c r="AB614" s="64"/>
      <c r="AC614" s="68"/>
      <c r="AD614" s="64"/>
    </row>
    <row r="615" ht="15.75" customHeight="1">
      <c r="A615" s="64"/>
      <c r="B615" s="64"/>
      <c r="C615" s="64"/>
      <c r="D615" s="64"/>
      <c r="E615" s="64"/>
      <c r="G615" s="68"/>
      <c r="H615" s="67"/>
      <c r="I615" s="64"/>
      <c r="J615" s="64"/>
      <c r="K615" s="64"/>
      <c r="L615" s="64"/>
      <c r="M615" s="64"/>
      <c r="N615" s="64"/>
      <c r="O615" s="64"/>
      <c r="P615" s="64"/>
      <c r="Q615" s="64"/>
      <c r="R615" s="64"/>
      <c r="S615" s="68"/>
      <c r="T615" s="64"/>
      <c r="U615" s="64"/>
      <c r="V615" s="64"/>
      <c r="W615" s="64"/>
      <c r="X615" s="64"/>
      <c r="Y615" s="64"/>
      <c r="Z615" s="64"/>
      <c r="AA615" s="64"/>
      <c r="AB615" s="64"/>
      <c r="AC615" s="68"/>
      <c r="AD615" s="64"/>
    </row>
    <row r="616" ht="15.75" customHeight="1">
      <c r="A616" s="64"/>
      <c r="B616" s="64"/>
      <c r="C616" s="64"/>
      <c r="D616" s="64"/>
      <c r="E616" s="64"/>
      <c r="G616" s="68"/>
      <c r="H616" s="67"/>
      <c r="I616" s="64"/>
      <c r="J616" s="64"/>
      <c r="K616" s="64"/>
      <c r="L616" s="64"/>
      <c r="M616" s="64"/>
      <c r="N616" s="64"/>
      <c r="O616" s="64"/>
      <c r="P616" s="64"/>
      <c r="Q616" s="64"/>
      <c r="R616" s="64"/>
      <c r="S616" s="68"/>
      <c r="T616" s="64"/>
      <c r="U616" s="64"/>
      <c r="V616" s="64"/>
      <c r="W616" s="64"/>
      <c r="X616" s="64"/>
      <c r="Y616" s="64"/>
      <c r="Z616" s="64"/>
      <c r="AA616" s="64"/>
      <c r="AB616" s="64"/>
      <c r="AC616" s="68"/>
      <c r="AD616" s="64"/>
    </row>
    <row r="617" ht="15.75" customHeight="1">
      <c r="A617" s="64"/>
      <c r="B617" s="64"/>
      <c r="C617" s="64"/>
      <c r="D617" s="64"/>
      <c r="E617" s="64"/>
      <c r="G617" s="68"/>
      <c r="H617" s="67"/>
      <c r="I617" s="64"/>
      <c r="J617" s="64"/>
      <c r="K617" s="64"/>
      <c r="L617" s="64"/>
      <c r="M617" s="64"/>
      <c r="N617" s="64"/>
      <c r="O617" s="64"/>
      <c r="P617" s="64"/>
      <c r="Q617" s="64"/>
      <c r="R617" s="64"/>
      <c r="S617" s="68"/>
      <c r="T617" s="64"/>
      <c r="U617" s="64"/>
      <c r="V617" s="64"/>
      <c r="W617" s="64"/>
      <c r="X617" s="64"/>
      <c r="Y617" s="64"/>
      <c r="Z617" s="64"/>
      <c r="AA617" s="64"/>
      <c r="AB617" s="64"/>
      <c r="AC617" s="68"/>
      <c r="AD617" s="64"/>
    </row>
    <row r="618" ht="15.75" customHeight="1">
      <c r="A618" s="64"/>
      <c r="B618" s="64"/>
      <c r="C618" s="64"/>
      <c r="D618" s="64"/>
      <c r="E618" s="64"/>
      <c r="G618" s="68"/>
      <c r="H618" s="67"/>
      <c r="I618" s="64"/>
      <c r="J618" s="64"/>
      <c r="K618" s="64"/>
      <c r="L618" s="64"/>
      <c r="M618" s="64"/>
      <c r="N618" s="64"/>
      <c r="O618" s="64"/>
      <c r="P618" s="64"/>
      <c r="Q618" s="64"/>
      <c r="R618" s="64"/>
      <c r="S618" s="68"/>
      <c r="T618" s="64"/>
      <c r="U618" s="64"/>
      <c r="V618" s="64"/>
      <c r="W618" s="64"/>
      <c r="X618" s="64"/>
      <c r="Y618" s="64"/>
      <c r="Z618" s="64"/>
      <c r="AA618" s="64"/>
      <c r="AB618" s="64"/>
      <c r="AC618" s="68"/>
      <c r="AD618" s="64"/>
    </row>
    <row r="619" ht="15.75" customHeight="1">
      <c r="A619" s="64"/>
      <c r="B619" s="64"/>
      <c r="C619" s="64"/>
      <c r="D619" s="64"/>
      <c r="E619" s="64"/>
      <c r="G619" s="68"/>
      <c r="H619" s="67"/>
      <c r="I619" s="64"/>
      <c r="J619" s="64"/>
      <c r="K619" s="64"/>
      <c r="L619" s="64"/>
      <c r="M619" s="64"/>
      <c r="N619" s="64"/>
      <c r="O619" s="64"/>
      <c r="P619" s="64"/>
      <c r="Q619" s="64"/>
      <c r="R619" s="64"/>
      <c r="S619" s="68"/>
      <c r="T619" s="64"/>
      <c r="U619" s="64"/>
      <c r="V619" s="64"/>
      <c r="W619" s="64"/>
      <c r="X619" s="64"/>
      <c r="Y619" s="64"/>
      <c r="Z619" s="64"/>
      <c r="AA619" s="64"/>
      <c r="AB619" s="64"/>
      <c r="AC619" s="68"/>
      <c r="AD619" s="64"/>
    </row>
    <row r="620" ht="15.75" customHeight="1">
      <c r="A620" s="64"/>
      <c r="B620" s="64"/>
      <c r="C620" s="64"/>
      <c r="D620" s="64"/>
      <c r="E620" s="64"/>
      <c r="G620" s="68"/>
      <c r="H620" s="67"/>
      <c r="I620" s="64"/>
      <c r="J620" s="64"/>
      <c r="K620" s="64"/>
      <c r="L620" s="64"/>
      <c r="M620" s="64"/>
      <c r="N620" s="64"/>
      <c r="O620" s="64"/>
      <c r="P620" s="64"/>
      <c r="Q620" s="64"/>
      <c r="R620" s="64"/>
      <c r="S620" s="68"/>
      <c r="T620" s="64"/>
      <c r="U620" s="64"/>
      <c r="V620" s="64"/>
      <c r="W620" s="64"/>
      <c r="X620" s="64"/>
      <c r="Y620" s="64"/>
      <c r="Z620" s="64"/>
      <c r="AA620" s="64"/>
      <c r="AB620" s="64"/>
      <c r="AC620" s="68"/>
      <c r="AD620" s="64"/>
    </row>
    <row r="621" ht="15.75" customHeight="1">
      <c r="A621" s="64"/>
      <c r="B621" s="64"/>
      <c r="C621" s="64"/>
      <c r="D621" s="64"/>
      <c r="E621" s="64"/>
      <c r="G621" s="68"/>
      <c r="H621" s="67"/>
      <c r="I621" s="64"/>
      <c r="J621" s="64"/>
      <c r="K621" s="64"/>
      <c r="L621" s="64"/>
      <c r="M621" s="64"/>
      <c r="N621" s="64"/>
      <c r="O621" s="64"/>
      <c r="P621" s="64"/>
      <c r="Q621" s="64"/>
      <c r="R621" s="64"/>
      <c r="S621" s="68"/>
      <c r="T621" s="64"/>
      <c r="U621" s="64"/>
      <c r="V621" s="64"/>
      <c r="W621" s="64"/>
      <c r="X621" s="64"/>
      <c r="Y621" s="64"/>
      <c r="Z621" s="64"/>
      <c r="AA621" s="64"/>
      <c r="AB621" s="64"/>
      <c r="AC621" s="68"/>
      <c r="AD621" s="64"/>
    </row>
    <row r="622" ht="15.75" customHeight="1">
      <c r="A622" s="64"/>
      <c r="B622" s="64"/>
      <c r="C622" s="64"/>
      <c r="D622" s="64"/>
      <c r="E622" s="64"/>
      <c r="G622" s="68"/>
      <c r="H622" s="67"/>
      <c r="I622" s="64"/>
      <c r="J622" s="64"/>
      <c r="K622" s="64"/>
      <c r="L622" s="64"/>
      <c r="M622" s="64"/>
      <c r="N622" s="64"/>
      <c r="O622" s="64"/>
      <c r="P622" s="64"/>
      <c r="Q622" s="64"/>
      <c r="R622" s="64"/>
      <c r="S622" s="68"/>
      <c r="T622" s="64"/>
      <c r="U622" s="64"/>
      <c r="V622" s="64"/>
      <c r="W622" s="64"/>
      <c r="X622" s="64"/>
      <c r="Y622" s="64"/>
      <c r="Z622" s="64"/>
      <c r="AA622" s="64"/>
      <c r="AB622" s="64"/>
      <c r="AC622" s="68"/>
      <c r="AD622" s="64"/>
    </row>
    <row r="623" ht="15.75" customHeight="1">
      <c r="A623" s="64"/>
      <c r="B623" s="64"/>
      <c r="C623" s="64"/>
      <c r="D623" s="64"/>
      <c r="E623" s="64"/>
      <c r="G623" s="68"/>
      <c r="H623" s="67"/>
      <c r="I623" s="64"/>
      <c r="J623" s="64"/>
      <c r="K623" s="64"/>
      <c r="L623" s="64"/>
      <c r="M623" s="64"/>
      <c r="N623" s="64"/>
      <c r="O623" s="64"/>
      <c r="P623" s="64"/>
      <c r="Q623" s="64"/>
      <c r="R623" s="64"/>
      <c r="S623" s="68"/>
      <c r="T623" s="64"/>
      <c r="U623" s="64"/>
      <c r="V623" s="64"/>
      <c r="W623" s="64"/>
      <c r="X623" s="64"/>
      <c r="Y623" s="64"/>
      <c r="Z623" s="64"/>
      <c r="AA623" s="64"/>
      <c r="AB623" s="64"/>
      <c r="AC623" s="68"/>
      <c r="AD623" s="64"/>
    </row>
    <row r="624" ht="15.75" customHeight="1">
      <c r="A624" s="64"/>
      <c r="B624" s="64"/>
      <c r="C624" s="64"/>
      <c r="D624" s="64"/>
      <c r="E624" s="64"/>
      <c r="G624" s="68"/>
      <c r="H624" s="67"/>
      <c r="I624" s="64"/>
      <c r="J624" s="64"/>
      <c r="K624" s="64"/>
      <c r="L624" s="64"/>
      <c r="M624" s="64"/>
      <c r="N624" s="64"/>
      <c r="O624" s="64"/>
      <c r="P624" s="64"/>
      <c r="Q624" s="64"/>
      <c r="R624" s="64"/>
      <c r="S624" s="68"/>
      <c r="T624" s="64"/>
      <c r="U624" s="64"/>
      <c r="V624" s="64"/>
      <c r="W624" s="64"/>
      <c r="X624" s="64"/>
      <c r="Y624" s="64"/>
      <c r="Z624" s="64"/>
      <c r="AA624" s="64"/>
      <c r="AB624" s="64"/>
      <c r="AC624" s="68"/>
      <c r="AD624" s="64"/>
    </row>
    <row r="625" ht="15.75" customHeight="1">
      <c r="A625" s="64"/>
      <c r="B625" s="64"/>
      <c r="C625" s="64"/>
      <c r="D625" s="64"/>
      <c r="E625" s="64"/>
      <c r="G625" s="68"/>
      <c r="H625" s="67"/>
      <c r="I625" s="64"/>
      <c r="J625" s="64"/>
      <c r="K625" s="64"/>
      <c r="L625" s="64"/>
      <c r="M625" s="64"/>
      <c r="N625" s="64"/>
      <c r="O625" s="64"/>
      <c r="P625" s="64"/>
      <c r="Q625" s="64"/>
      <c r="R625" s="64"/>
      <c r="S625" s="68"/>
      <c r="T625" s="64"/>
      <c r="U625" s="64"/>
      <c r="V625" s="64"/>
      <c r="W625" s="64"/>
      <c r="X625" s="64"/>
      <c r="Y625" s="64"/>
      <c r="Z625" s="64"/>
      <c r="AA625" s="64"/>
      <c r="AB625" s="64"/>
      <c r="AC625" s="68"/>
      <c r="AD625" s="64"/>
    </row>
    <row r="626" ht="15.75" customHeight="1">
      <c r="A626" s="64"/>
      <c r="B626" s="64"/>
      <c r="C626" s="64"/>
      <c r="D626" s="64"/>
      <c r="E626" s="64"/>
      <c r="G626" s="68"/>
      <c r="H626" s="67"/>
      <c r="I626" s="64"/>
      <c r="J626" s="64"/>
      <c r="K626" s="64"/>
      <c r="L626" s="64"/>
      <c r="M626" s="64"/>
      <c r="N626" s="64"/>
      <c r="O626" s="64"/>
      <c r="P626" s="64"/>
      <c r="Q626" s="64"/>
      <c r="R626" s="64"/>
      <c r="S626" s="68"/>
      <c r="T626" s="64"/>
      <c r="U626" s="64"/>
      <c r="V626" s="64"/>
      <c r="W626" s="64"/>
      <c r="X626" s="64"/>
      <c r="Y626" s="64"/>
      <c r="Z626" s="64"/>
      <c r="AA626" s="64"/>
      <c r="AB626" s="64"/>
      <c r="AC626" s="68"/>
      <c r="AD626" s="64"/>
    </row>
    <row r="627" ht="15.75" customHeight="1">
      <c r="A627" s="64"/>
      <c r="B627" s="64"/>
      <c r="C627" s="64"/>
      <c r="D627" s="64"/>
      <c r="E627" s="64"/>
      <c r="G627" s="68"/>
      <c r="H627" s="67"/>
      <c r="I627" s="64"/>
      <c r="J627" s="64"/>
      <c r="K627" s="64"/>
      <c r="L627" s="64"/>
      <c r="M627" s="64"/>
      <c r="N627" s="64"/>
      <c r="O627" s="64"/>
      <c r="P627" s="64"/>
      <c r="Q627" s="64"/>
      <c r="R627" s="64"/>
      <c r="S627" s="68"/>
      <c r="T627" s="64"/>
      <c r="U627" s="64"/>
      <c r="V627" s="64"/>
      <c r="W627" s="64"/>
      <c r="X627" s="64"/>
      <c r="Y627" s="64"/>
      <c r="Z627" s="64"/>
      <c r="AA627" s="64"/>
      <c r="AB627" s="64"/>
      <c r="AC627" s="68"/>
      <c r="AD627" s="64"/>
    </row>
    <row r="628" ht="15.75" customHeight="1">
      <c r="A628" s="64"/>
      <c r="B628" s="64"/>
      <c r="C628" s="64"/>
      <c r="D628" s="64"/>
      <c r="E628" s="64"/>
      <c r="G628" s="68"/>
      <c r="H628" s="67"/>
      <c r="I628" s="64"/>
      <c r="J628" s="64"/>
      <c r="K628" s="64"/>
      <c r="L628" s="64"/>
      <c r="M628" s="64"/>
      <c r="N628" s="64"/>
      <c r="O628" s="64"/>
      <c r="P628" s="64"/>
      <c r="Q628" s="64"/>
      <c r="R628" s="64"/>
      <c r="S628" s="68"/>
      <c r="T628" s="64"/>
      <c r="U628" s="64"/>
      <c r="V628" s="64"/>
      <c r="W628" s="64"/>
      <c r="X628" s="64"/>
      <c r="Y628" s="64"/>
      <c r="Z628" s="64"/>
      <c r="AA628" s="64"/>
      <c r="AB628" s="64"/>
      <c r="AC628" s="68"/>
      <c r="AD628" s="64"/>
    </row>
    <row r="629" ht="15.75" customHeight="1">
      <c r="A629" s="64"/>
      <c r="B629" s="64"/>
      <c r="C629" s="64"/>
      <c r="D629" s="64"/>
      <c r="E629" s="64"/>
      <c r="G629" s="68"/>
      <c r="H629" s="67"/>
      <c r="I629" s="64"/>
      <c r="J629" s="64"/>
      <c r="K629" s="64"/>
      <c r="L629" s="64"/>
      <c r="M629" s="64"/>
      <c r="N629" s="64"/>
      <c r="O629" s="64"/>
      <c r="P629" s="64"/>
      <c r="Q629" s="64"/>
      <c r="R629" s="64"/>
      <c r="S629" s="68"/>
      <c r="T629" s="64"/>
      <c r="U629" s="64"/>
      <c r="V629" s="64"/>
      <c r="W629" s="64"/>
      <c r="X629" s="64"/>
      <c r="Y629" s="64"/>
      <c r="Z629" s="64"/>
      <c r="AA629" s="64"/>
      <c r="AB629" s="64"/>
      <c r="AC629" s="68"/>
      <c r="AD629" s="64"/>
    </row>
    <row r="630" ht="15.75" customHeight="1">
      <c r="A630" s="64"/>
      <c r="B630" s="64"/>
      <c r="C630" s="64"/>
      <c r="D630" s="64"/>
      <c r="E630" s="64"/>
      <c r="G630" s="68"/>
      <c r="H630" s="67"/>
      <c r="I630" s="64"/>
      <c r="J630" s="64"/>
      <c r="K630" s="64"/>
      <c r="L630" s="64"/>
      <c r="M630" s="64"/>
      <c r="N630" s="64"/>
      <c r="O630" s="64"/>
      <c r="P630" s="64"/>
      <c r="Q630" s="64"/>
      <c r="R630" s="64"/>
      <c r="S630" s="68"/>
      <c r="T630" s="64"/>
      <c r="U630" s="64"/>
      <c r="V630" s="64"/>
      <c r="W630" s="64"/>
      <c r="X630" s="64"/>
      <c r="Y630" s="64"/>
      <c r="Z630" s="64"/>
      <c r="AA630" s="64"/>
      <c r="AB630" s="64"/>
      <c r="AC630" s="68"/>
      <c r="AD630" s="64"/>
    </row>
    <row r="631" ht="15.75" customHeight="1">
      <c r="A631" s="64"/>
      <c r="B631" s="64"/>
      <c r="C631" s="64"/>
      <c r="D631" s="64"/>
      <c r="E631" s="64"/>
      <c r="G631" s="68"/>
      <c r="H631" s="67"/>
      <c r="I631" s="64"/>
      <c r="J631" s="64"/>
      <c r="K631" s="64"/>
      <c r="L631" s="64"/>
      <c r="M631" s="64"/>
      <c r="N631" s="64"/>
      <c r="O631" s="64"/>
      <c r="P631" s="64"/>
      <c r="Q631" s="64"/>
      <c r="R631" s="64"/>
      <c r="S631" s="68"/>
      <c r="T631" s="64"/>
      <c r="U631" s="64"/>
      <c r="V631" s="64"/>
      <c r="W631" s="64"/>
      <c r="X631" s="64"/>
      <c r="Y631" s="64"/>
      <c r="Z631" s="64"/>
      <c r="AA631" s="64"/>
      <c r="AB631" s="64"/>
      <c r="AC631" s="68"/>
      <c r="AD631" s="64"/>
    </row>
    <row r="632" ht="15.75" customHeight="1">
      <c r="A632" s="64"/>
      <c r="B632" s="64"/>
      <c r="C632" s="64"/>
      <c r="D632" s="64"/>
      <c r="E632" s="64"/>
      <c r="G632" s="68"/>
      <c r="H632" s="67"/>
      <c r="I632" s="64"/>
      <c r="J632" s="64"/>
      <c r="K632" s="64"/>
      <c r="L632" s="64"/>
      <c r="M632" s="64"/>
      <c r="N632" s="64"/>
      <c r="O632" s="64"/>
      <c r="P632" s="64"/>
      <c r="Q632" s="64"/>
      <c r="R632" s="64"/>
      <c r="S632" s="68"/>
      <c r="T632" s="64"/>
      <c r="U632" s="64"/>
      <c r="V632" s="64"/>
      <c r="W632" s="64"/>
      <c r="X632" s="64"/>
      <c r="Y632" s="64"/>
      <c r="Z632" s="64"/>
      <c r="AA632" s="64"/>
      <c r="AB632" s="64"/>
      <c r="AC632" s="68"/>
      <c r="AD632" s="64"/>
    </row>
    <row r="633" ht="15.75" customHeight="1">
      <c r="A633" s="64"/>
      <c r="B633" s="64"/>
      <c r="C633" s="64"/>
      <c r="D633" s="64"/>
      <c r="E633" s="64"/>
      <c r="G633" s="68"/>
      <c r="H633" s="67"/>
      <c r="I633" s="64"/>
      <c r="J633" s="64"/>
      <c r="K633" s="64"/>
      <c r="L633" s="64"/>
      <c r="M633" s="64"/>
      <c r="N633" s="64"/>
      <c r="O633" s="64"/>
      <c r="P633" s="64"/>
      <c r="Q633" s="64"/>
      <c r="R633" s="64"/>
      <c r="S633" s="68"/>
      <c r="T633" s="64"/>
      <c r="U633" s="64"/>
      <c r="V633" s="64"/>
      <c r="W633" s="64"/>
      <c r="X633" s="64"/>
      <c r="Y633" s="64"/>
      <c r="Z633" s="64"/>
      <c r="AA633" s="64"/>
      <c r="AB633" s="64"/>
      <c r="AC633" s="68"/>
      <c r="AD633" s="64"/>
    </row>
    <row r="634" ht="15.75" customHeight="1">
      <c r="A634" s="64"/>
      <c r="B634" s="64"/>
      <c r="C634" s="64"/>
      <c r="D634" s="64"/>
      <c r="E634" s="64"/>
      <c r="G634" s="68"/>
      <c r="H634" s="67"/>
      <c r="I634" s="64"/>
      <c r="J634" s="64"/>
      <c r="K634" s="64"/>
      <c r="L634" s="64"/>
      <c r="M634" s="64"/>
      <c r="N634" s="64"/>
      <c r="O634" s="64"/>
      <c r="P634" s="64"/>
      <c r="Q634" s="64"/>
      <c r="R634" s="64"/>
      <c r="S634" s="68"/>
      <c r="T634" s="64"/>
      <c r="U634" s="64"/>
      <c r="V634" s="64"/>
      <c r="W634" s="64"/>
      <c r="X634" s="64"/>
      <c r="Y634" s="64"/>
      <c r="Z634" s="64"/>
      <c r="AA634" s="64"/>
      <c r="AB634" s="64"/>
      <c r="AC634" s="68"/>
      <c r="AD634" s="64"/>
    </row>
    <row r="635" ht="15.75" customHeight="1">
      <c r="A635" s="64"/>
      <c r="B635" s="64"/>
      <c r="C635" s="64"/>
      <c r="D635" s="64"/>
      <c r="E635" s="64"/>
      <c r="G635" s="68"/>
      <c r="H635" s="67"/>
      <c r="I635" s="64"/>
      <c r="J635" s="64"/>
      <c r="K635" s="64"/>
      <c r="L635" s="64"/>
      <c r="M635" s="64"/>
      <c r="N635" s="64"/>
      <c r="O635" s="64"/>
      <c r="P635" s="64"/>
      <c r="Q635" s="64"/>
      <c r="R635" s="64"/>
      <c r="S635" s="68"/>
      <c r="T635" s="64"/>
      <c r="U635" s="64"/>
      <c r="V635" s="64"/>
      <c r="W635" s="64"/>
      <c r="X635" s="64"/>
      <c r="Y635" s="64"/>
      <c r="Z635" s="64"/>
      <c r="AA635" s="64"/>
      <c r="AB635" s="64"/>
      <c r="AC635" s="68"/>
      <c r="AD635" s="64"/>
    </row>
    <row r="636" ht="15.75" customHeight="1">
      <c r="A636" s="64"/>
      <c r="B636" s="64"/>
      <c r="C636" s="64"/>
      <c r="D636" s="64"/>
      <c r="E636" s="64"/>
      <c r="G636" s="68"/>
      <c r="H636" s="67"/>
      <c r="I636" s="64"/>
      <c r="J636" s="64"/>
      <c r="K636" s="64"/>
      <c r="L636" s="64"/>
      <c r="M636" s="64"/>
      <c r="N636" s="64"/>
      <c r="O636" s="64"/>
      <c r="P636" s="64"/>
      <c r="Q636" s="64"/>
      <c r="R636" s="64"/>
      <c r="S636" s="68"/>
      <c r="T636" s="64"/>
      <c r="U636" s="64"/>
      <c r="V636" s="64"/>
      <c r="W636" s="64"/>
      <c r="X636" s="64"/>
      <c r="Y636" s="64"/>
      <c r="Z636" s="64"/>
      <c r="AA636" s="64"/>
      <c r="AB636" s="64"/>
      <c r="AC636" s="68"/>
      <c r="AD636" s="64"/>
    </row>
    <row r="637" ht="15.75" customHeight="1">
      <c r="A637" s="64"/>
      <c r="B637" s="64"/>
      <c r="C637" s="64"/>
      <c r="D637" s="64"/>
      <c r="E637" s="64"/>
      <c r="G637" s="68"/>
      <c r="H637" s="67"/>
      <c r="I637" s="64"/>
      <c r="J637" s="64"/>
      <c r="K637" s="64"/>
      <c r="L637" s="64"/>
      <c r="M637" s="64"/>
      <c r="N637" s="64"/>
      <c r="O637" s="64"/>
      <c r="P637" s="64"/>
      <c r="Q637" s="64"/>
      <c r="R637" s="64"/>
      <c r="S637" s="68"/>
      <c r="T637" s="64"/>
      <c r="U637" s="64"/>
      <c r="V637" s="64"/>
      <c r="W637" s="64"/>
      <c r="X637" s="64"/>
      <c r="Y637" s="64"/>
      <c r="Z637" s="64"/>
      <c r="AA637" s="64"/>
      <c r="AB637" s="64"/>
      <c r="AC637" s="68"/>
      <c r="AD637" s="64"/>
    </row>
    <row r="638" ht="15.75" customHeight="1">
      <c r="A638" s="64"/>
      <c r="B638" s="64"/>
      <c r="C638" s="64"/>
      <c r="D638" s="64"/>
      <c r="E638" s="64"/>
      <c r="G638" s="68"/>
      <c r="H638" s="67"/>
      <c r="I638" s="64"/>
      <c r="J638" s="64"/>
      <c r="K638" s="64"/>
      <c r="L638" s="64"/>
      <c r="M638" s="64"/>
      <c r="N638" s="64"/>
      <c r="O638" s="64"/>
      <c r="P638" s="64"/>
      <c r="Q638" s="64"/>
      <c r="R638" s="64"/>
      <c r="S638" s="68"/>
      <c r="T638" s="64"/>
      <c r="U638" s="64"/>
      <c r="V638" s="64"/>
      <c r="W638" s="64"/>
      <c r="X638" s="64"/>
      <c r="Y638" s="64"/>
      <c r="Z638" s="64"/>
      <c r="AA638" s="64"/>
      <c r="AB638" s="64"/>
      <c r="AC638" s="68"/>
      <c r="AD638" s="64"/>
    </row>
    <row r="639" ht="15.75" customHeight="1">
      <c r="A639" s="64"/>
      <c r="B639" s="64"/>
      <c r="C639" s="64"/>
      <c r="D639" s="64"/>
      <c r="E639" s="64"/>
      <c r="G639" s="68"/>
      <c r="H639" s="67"/>
      <c r="I639" s="64"/>
      <c r="J639" s="64"/>
      <c r="K639" s="64"/>
      <c r="L639" s="64"/>
      <c r="M639" s="64"/>
      <c r="N639" s="64"/>
      <c r="O639" s="64"/>
      <c r="P639" s="64"/>
      <c r="Q639" s="64"/>
      <c r="R639" s="64"/>
      <c r="S639" s="68"/>
      <c r="T639" s="64"/>
      <c r="U639" s="64"/>
      <c r="V639" s="64"/>
      <c r="W639" s="64"/>
      <c r="X639" s="64"/>
      <c r="Y639" s="64"/>
      <c r="Z639" s="64"/>
      <c r="AA639" s="64"/>
      <c r="AB639" s="64"/>
      <c r="AC639" s="68"/>
      <c r="AD639" s="64"/>
    </row>
    <row r="640" ht="15.75" customHeight="1">
      <c r="A640" s="64"/>
      <c r="B640" s="64"/>
      <c r="C640" s="64"/>
      <c r="D640" s="64"/>
      <c r="E640" s="64"/>
      <c r="G640" s="68"/>
      <c r="H640" s="67"/>
      <c r="I640" s="64"/>
      <c r="J640" s="64"/>
      <c r="K640" s="64"/>
      <c r="L640" s="64"/>
      <c r="M640" s="64"/>
      <c r="N640" s="64"/>
      <c r="O640" s="64"/>
      <c r="P640" s="64"/>
      <c r="Q640" s="64"/>
      <c r="R640" s="64"/>
      <c r="S640" s="68"/>
      <c r="T640" s="64"/>
      <c r="U640" s="64"/>
      <c r="V640" s="64"/>
      <c r="W640" s="64"/>
      <c r="X640" s="64"/>
      <c r="Y640" s="64"/>
      <c r="Z640" s="64"/>
      <c r="AA640" s="64"/>
      <c r="AB640" s="64"/>
      <c r="AC640" s="68"/>
      <c r="AD640" s="64"/>
    </row>
    <row r="641" ht="15.75" customHeight="1">
      <c r="A641" s="64"/>
      <c r="B641" s="64"/>
      <c r="C641" s="64"/>
      <c r="D641" s="64"/>
      <c r="E641" s="64"/>
      <c r="G641" s="68"/>
      <c r="H641" s="67"/>
      <c r="I641" s="64"/>
      <c r="J641" s="64"/>
      <c r="K641" s="64"/>
      <c r="L641" s="64"/>
      <c r="M641" s="64"/>
      <c r="N641" s="64"/>
      <c r="O641" s="64"/>
      <c r="P641" s="64"/>
      <c r="Q641" s="64"/>
      <c r="R641" s="64"/>
      <c r="S641" s="68"/>
      <c r="T641" s="64"/>
      <c r="U641" s="64"/>
      <c r="V641" s="64"/>
      <c r="W641" s="64"/>
      <c r="X641" s="64"/>
      <c r="Y641" s="64"/>
      <c r="Z641" s="64"/>
      <c r="AA641" s="64"/>
      <c r="AB641" s="64"/>
      <c r="AC641" s="68"/>
      <c r="AD641" s="64"/>
    </row>
    <row r="642" ht="15.75" customHeight="1">
      <c r="A642" s="64"/>
      <c r="B642" s="64"/>
      <c r="C642" s="64"/>
      <c r="D642" s="64"/>
      <c r="E642" s="64"/>
      <c r="G642" s="68"/>
      <c r="H642" s="67"/>
      <c r="I642" s="64"/>
      <c r="J642" s="64"/>
      <c r="K642" s="64"/>
      <c r="L642" s="64"/>
      <c r="M642" s="64"/>
      <c r="N642" s="64"/>
      <c r="O642" s="64"/>
      <c r="P642" s="64"/>
      <c r="Q642" s="64"/>
      <c r="R642" s="64"/>
      <c r="S642" s="68"/>
      <c r="T642" s="64"/>
      <c r="U642" s="64"/>
      <c r="V642" s="64"/>
      <c r="W642" s="64"/>
      <c r="X642" s="64"/>
      <c r="Y642" s="64"/>
      <c r="Z642" s="64"/>
      <c r="AA642" s="64"/>
      <c r="AB642" s="64"/>
      <c r="AC642" s="68"/>
      <c r="AD642" s="64"/>
    </row>
    <row r="643" ht="15.75" customHeight="1">
      <c r="A643" s="64"/>
      <c r="B643" s="64"/>
      <c r="C643" s="64"/>
      <c r="D643" s="64"/>
      <c r="E643" s="64"/>
      <c r="G643" s="68"/>
      <c r="H643" s="67"/>
      <c r="I643" s="64"/>
      <c r="J643" s="64"/>
      <c r="K643" s="64"/>
      <c r="L643" s="64"/>
      <c r="M643" s="64"/>
      <c r="N643" s="64"/>
      <c r="O643" s="64"/>
      <c r="P643" s="64"/>
      <c r="Q643" s="64"/>
      <c r="R643" s="64"/>
      <c r="S643" s="68"/>
      <c r="T643" s="64"/>
      <c r="U643" s="64"/>
      <c r="V643" s="64"/>
      <c r="W643" s="64"/>
      <c r="X643" s="64"/>
      <c r="Y643" s="64"/>
      <c r="Z643" s="64"/>
      <c r="AA643" s="64"/>
      <c r="AB643" s="64"/>
      <c r="AC643" s="68"/>
      <c r="AD643" s="64"/>
    </row>
    <row r="644" ht="15.75" customHeight="1">
      <c r="A644" s="64"/>
      <c r="B644" s="64"/>
      <c r="C644" s="64"/>
      <c r="D644" s="64"/>
      <c r="E644" s="64"/>
      <c r="G644" s="68"/>
      <c r="H644" s="67"/>
      <c r="I644" s="64"/>
      <c r="J644" s="64"/>
      <c r="K644" s="64"/>
      <c r="L644" s="64"/>
      <c r="M644" s="64"/>
      <c r="N644" s="64"/>
      <c r="O644" s="64"/>
      <c r="P644" s="64"/>
      <c r="Q644" s="64"/>
      <c r="R644" s="64"/>
      <c r="S644" s="68"/>
      <c r="T644" s="64"/>
      <c r="U644" s="64"/>
      <c r="V644" s="64"/>
      <c r="W644" s="64"/>
      <c r="X644" s="64"/>
      <c r="Y644" s="64"/>
      <c r="Z644" s="64"/>
      <c r="AA644" s="64"/>
      <c r="AB644" s="64"/>
      <c r="AC644" s="68"/>
      <c r="AD644" s="64"/>
    </row>
    <row r="645" ht="15.75" customHeight="1">
      <c r="A645" s="64"/>
      <c r="B645" s="64"/>
      <c r="C645" s="64"/>
      <c r="D645" s="64"/>
      <c r="E645" s="64"/>
      <c r="G645" s="68"/>
      <c r="H645" s="67"/>
      <c r="I645" s="64"/>
      <c r="J645" s="64"/>
      <c r="K645" s="64"/>
      <c r="L645" s="64"/>
      <c r="M645" s="64"/>
      <c r="N645" s="64"/>
      <c r="O645" s="64"/>
      <c r="P645" s="64"/>
      <c r="Q645" s="64"/>
      <c r="R645" s="64"/>
      <c r="S645" s="68"/>
      <c r="T645" s="64"/>
      <c r="U645" s="64"/>
      <c r="V645" s="64"/>
      <c r="W645" s="64"/>
      <c r="X645" s="64"/>
      <c r="Y645" s="64"/>
      <c r="Z645" s="64"/>
      <c r="AA645" s="64"/>
      <c r="AB645" s="64"/>
      <c r="AC645" s="68"/>
      <c r="AD645" s="64"/>
    </row>
    <row r="646" ht="15.75" customHeight="1">
      <c r="A646" s="64"/>
      <c r="B646" s="64"/>
      <c r="C646" s="64"/>
      <c r="D646" s="64"/>
      <c r="E646" s="64"/>
      <c r="G646" s="68"/>
      <c r="H646" s="67"/>
      <c r="I646" s="64"/>
      <c r="J646" s="64"/>
      <c r="K646" s="64"/>
      <c r="L646" s="64"/>
      <c r="M646" s="64"/>
      <c r="N646" s="64"/>
      <c r="O646" s="64"/>
      <c r="P646" s="64"/>
      <c r="Q646" s="64"/>
      <c r="R646" s="64"/>
      <c r="S646" s="68"/>
      <c r="T646" s="64"/>
      <c r="U646" s="64"/>
      <c r="V646" s="64"/>
      <c r="W646" s="64"/>
      <c r="X646" s="64"/>
      <c r="Y646" s="64"/>
      <c r="Z646" s="64"/>
      <c r="AA646" s="64"/>
      <c r="AB646" s="64"/>
      <c r="AC646" s="68"/>
      <c r="AD646" s="64"/>
    </row>
    <row r="647" ht="15.75" customHeight="1">
      <c r="A647" s="64"/>
      <c r="B647" s="64"/>
      <c r="C647" s="64"/>
      <c r="D647" s="64"/>
      <c r="E647" s="64"/>
      <c r="G647" s="68"/>
      <c r="H647" s="67"/>
      <c r="I647" s="64"/>
      <c r="J647" s="64"/>
      <c r="K647" s="64"/>
      <c r="L647" s="64"/>
      <c r="M647" s="64"/>
      <c r="N647" s="64"/>
      <c r="O647" s="64"/>
      <c r="P647" s="64"/>
      <c r="Q647" s="64"/>
      <c r="R647" s="64"/>
      <c r="S647" s="68"/>
      <c r="T647" s="64"/>
      <c r="U647" s="64"/>
      <c r="V647" s="64"/>
      <c r="W647" s="64"/>
      <c r="X647" s="64"/>
      <c r="Y647" s="64"/>
      <c r="Z647" s="64"/>
      <c r="AA647" s="64"/>
      <c r="AB647" s="64"/>
      <c r="AC647" s="68"/>
      <c r="AD647" s="64"/>
    </row>
    <row r="648" ht="15.75" customHeight="1">
      <c r="A648" s="64"/>
      <c r="B648" s="64"/>
      <c r="C648" s="64"/>
      <c r="D648" s="64"/>
      <c r="E648" s="64"/>
      <c r="G648" s="68"/>
      <c r="H648" s="67"/>
      <c r="I648" s="64"/>
      <c r="J648" s="64"/>
      <c r="K648" s="64"/>
      <c r="L648" s="64"/>
      <c r="M648" s="64"/>
      <c r="N648" s="64"/>
      <c r="O648" s="64"/>
      <c r="P648" s="64"/>
      <c r="Q648" s="64"/>
      <c r="R648" s="64"/>
      <c r="S648" s="68"/>
      <c r="T648" s="64"/>
      <c r="U648" s="64"/>
      <c r="V648" s="64"/>
      <c r="W648" s="64"/>
      <c r="X648" s="64"/>
      <c r="Y648" s="64"/>
      <c r="Z648" s="64"/>
      <c r="AA648" s="64"/>
      <c r="AB648" s="64"/>
      <c r="AC648" s="68"/>
      <c r="AD648" s="64"/>
    </row>
    <row r="649" ht="15.75" customHeight="1">
      <c r="A649" s="64"/>
      <c r="B649" s="64"/>
      <c r="C649" s="64"/>
      <c r="D649" s="64"/>
      <c r="E649" s="64"/>
      <c r="G649" s="68"/>
      <c r="H649" s="67"/>
      <c r="I649" s="64"/>
      <c r="J649" s="64"/>
      <c r="K649" s="64"/>
      <c r="L649" s="64"/>
      <c r="M649" s="64"/>
      <c r="N649" s="64"/>
      <c r="O649" s="64"/>
      <c r="P649" s="64"/>
      <c r="Q649" s="64"/>
      <c r="R649" s="64"/>
      <c r="S649" s="68"/>
      <c r="T649" s="64"/>
      <c r="U649" s="64"/>
      <c r="V649" s="64"/>
      <c r="W649" s="64"/>
      <c r="X649" s="64"/>
      <c r="Y649" s="64"/>
      <c r="Z649" s="64"/>
      <c r="AA649" s="64"/>
      <c r="AB649" s="64"/>
      <c r="AC649" s="68"/>
      <c r="AD649" s="64"/>
    </row>
    <row r="650" ht="15.75" customHeight="1">
      <c r="A650" s="64"/>
      <c r="B650" s="64"/>
      <c r="C650" s="64"/>
      <c r="D650" s="64"/>
      <c r="E650" s="64"/>
      <c r="G650" s="68"/>
      <c r="H650" s="67"/>
      <c r="I650" s="64"/>
      <c r="J650" s="64"/>
      <c r="K650" s="64"/>
      <c r="L650" s="64"/>
      <c r="M650" s="64"/>
      <c r="N650" s="64"/>
      <c r="O650" s="64"/>
      <c r="P650" s="64"/>
      <c r="Q650" s="64"/>
      <c r="R650" s="64"/>
      <c r="S650" s="68"/>
      <c r="T650" s="64"/>
      <c r="U650" s="64"/>
      <c r="V650" s="64"/>
      <c r="W650" s="64"/>
      <c r="X650" s="64"/>
      <c r="Y650" s="64"/>
      <c r="Z650" s="64"/>
      <c r="AA650" s="64"/>
      <c r="AB650" s="64"/>
      <c r="AC650" s="68"/>
      <c r="AD650" s="64"/>
    </row>
    <row r="651" ht="15.75" customHeight="1">
      <c r="A651" s="64"/>
      <c r="B651" s="64"/>
      <c r="C651" s="64"/>
      <c r="D651" s="64"/>
      <c r="E651" s="64"/>
      <c r="G651" s="68"/>
      <c r="H651" s="67"/>
      <c r="I651" s="64"/>
      <c r="J651" s="64"/>
      <c r="K651" s="64"/>
      <c r="L651" s="64"/>
      <c r="M651" s="64"/>
      <c r="N651" s="64"/>
      <c r="O651" s="64"/>
      <c r="P651" s="64"/>
      <c r="Q651" s="64"/>
      <c r="R651" s="64"/>
      <c r="S651" s="68"/>
      <c r="T651" s="64"/>
      <c r="U651" s="64"/>
      <c r="V651" s="64"/>
      <c r="W651" s="64"/>
      <c r="X651" s="64"/>
      <c r="Y651" s="64"/>
      <c r="Z651" s="64"/>
      <c r="AA651" s="64"/>
      <c r="AB651" s="64"/>
      <c r="AC651" s="68"/>
      <c r="AD651" s="64"/>
    </row>
    <row r="652" ht="15.75" customHeight="1">
      <c r="A652" s="64"/>
      <c r="B652" s="64"/>
      <c r="C652" s="64"/>
      <c r="D652" s="64"/>
      <c r="E652" s="64"/>
      <c r="G652" s="68"/>
      <c r="H652" s="67"/>
      <c r="I652" s="64"/>
      <c r="J652" s="64"/>
      <c r="K652" s="64"/>
      <c r="L652" s="64"/>
      <c r="M652" s="64"/>
      <c r="N652" s="64"/>
      <c r="O652" s="64"/>
      <c r="P652" s="64"/>
      <c r="Q652" s="64"/>
      <c r="R652" s="64"/>
      <c r="S652" s="68"/>
      <c r="T652" s="64"/>
      <c r="U652" s="64"/>
      <c r="V652" s="64"/>
      <c r="W652" s="64"/>
      <c r="X652" s="64"/>
      <c r="Y652" s="64"/>
      <c r="Z652" s="64"/>
      <c r="AA652" s="64"/>
      <c r="AB652" s="64"/>
      <c r="AC652" s="68"/>
      <c r="AD652" s="64"/>
    </row>
    <row r="653" ht="15.75" customHeight="1">
      <c r="A653" s="64"/>
      <c r="B653" s="64"/>
      <c r="C653" s="64"/>
      <c r="D653" s="64"/>
      <c r="E653" s="64"/>
      <c r="G653" s="68"/>
      <c r="H653" s="67"/>
      <c r="I653" s="64"/>
      <c r="J653" s="64"/>
      <c r="K653" s="64"/>
      <c r="L653" s="64"/>
      <c r="M653" s="64"/>
      <c r="N653" s="64"/>
      <c r="O653" s="64"/>
      <c r="P653" s="64"/>
      <c r="Q653" s="64"/>
      <c r="R653" s="64"/>
      <c r="S653" s="68"/>
      <c r="T653" s="64"/>
      <c r="U653" s="64"/>
      <c r="V653" s="64"/>
      <c r="W653" s="64"/>
      <c r="X653" s="64"/>
      <c r="Y653" s="64"/>
      <c r="Z653" s="64"/>
      <c r="AA653" s="64"/>
      <c r="AB653" s="64"/>
      <c r="AC653" s="68"/>
      <c r="AD653" s="64"/>
    </row>
    <row r="654" ht="15.75" customHeight="1">
      <c r="A654" s="64"/>
      <c r="B654" s="64"/>
      <c r="C654" s="64"/>
      <c r="D654" s="64"/>
      <c r="E654" s="64"/>
      <c r="G654" s="68"/>
      <c r="H654" s="67"/>
      <c r="I654" s="64"/>
      <c r="J654" s="64"/>
      <c r="K654" s="64"/>
      <c r="L654" s="64"/>
      <c r="M654" s="64"/>
      <c r="N654" s="64"/>
      <c r="O654" s="64"/>
      <c r="P654" s="64"/>
      <c r="Q654" s="64"/>
      <c r="R654" s="64"/>
      <c r="S654" s="68"/>
      <c r="T654" s="64"/>
      <c r="U654" s="64"/>
      <c r="V654" s="64"/>
      <c r="W654" s="64"/>
      <c r="X654" s="64"/>
      <c r="Y654" s="64"/>
      <c r="Z654" s="64"/>
      <c r="AA654" s="64"/>
      <c r="AB654" s="64"/>
      <c r="AC654" s="68"/>
      <c r="AD654" s="64"/>
    </row>
    <row r="655" ht="15.75" customHeight="1">
      <c r="A655" s="64"/>
      <c r="B655" s="64"/>
      <c r="C655" s="64"/>
      <c r="D655" s="64"/>
      <c r="E655" s="64"/>
      <c r="G655" s="68"/>
      <c r="H655" s="67"/>
      <c r="I655" s="64"/>
      <c r="J655" s="64"/>
      <c r="K655" s="64"/>
      <c r="L655" s="64"/>
      <c r="M655" s="64"/>
      <c r="N655" s="64"/>
      <c r="O655" s="64"/>
      <c r="P655" s="64"/>
      <c r="Q655" s="64"/>
      <c r="R655" s="64"/>
      <c r="S655" s="68"/>
      <c r="T655" s="64"/>
      <c r="U655" s="64"/>
      <c r="V655" s="64"/>
      <c r="W655" s="64"/>
      <c r="X655" s="64"/>
      <c r="Y655" s="64"/>
      <c r="Z655" s="64"/>
      <c r="AA655" s="64"/>
      <c r="AB655" s="64"/>
      <c r="AC655" s="68"/>
      <c r="AD655" s="64"/>
    </row>
    <row r="656" ht="15.75" customHeight="1">
      <c r="A656" s="64"/>
      <c r="B656" s="64"/>
      <c r="C656" s="64"/>
      <c r="D656" s="64"/>
      <c r="E656" s="64"/>
      <c r="G656" s="68"/>
      <c r="H656" s="67"/>
      <c r="I656" s="64"/>
      <c r="J656" s="64"/>
      <c r="K656" s="64"/>
      <c r="L656" s="64"/>
      <c r="M656" s="64"/>
      <c r="N656" s="64"/>
      <c r="O656" s="64"/>
      <c r="P656" s="64"/>
      <c r="Q656" s="64"/>
      <c r="R656" s="64"/>
      <c r="S656" s="68"/>
      <c r="T656" s="64"/>
      <c r="U656" s="64"/>
      <c r="V656" s="64"/>
      <c r="W656" s="64"/>
      <c r="X656" s="64"/>
      <c r="Y656" s="64"/>
      <c r="Z656" s="64"/>
      <c r="AA656" s="64"/>
      <c r="AB656" s="64"/>
      <c r="AC656" s="68"/>
      <c r="AD656" s="64"/>
    </row>
    <row r="657" ht="15.75" customHeight="1">
      <c r="A657" s="64"/>
      <c r="B657" s="64"/>
      <c r="C657" s="64"/>
      <c r="D657" s="64"/>
      <c r="E657" s="64"/>
      <c r="G657" s="68"/>
      <c r="H657" s="67"/>
      <c r="I657" s="64"/>
      <c r="J657" s="64"/>
      <c r="K657" s="64"/>
      <c r="L657" s="64"/>
      <c r="M657" s="64"/>
      <c r="N657" s="64"/>
      <c r="O657" s="64"/>
      <c r="P657" s="64"/>
      <c r="Q657" s="64"/>
      <c r="R657" s="64"/>
      <c r="S657" s="68"/>
      <c r="T657" s="64"/>
      <c r="U657" s="64"/>
      <c r="V657" s="64"/>
      <c r="W657" s="64"/>
      <c r="X657" s="64"/>
      <c r="Y657" s="64"/>
      <c r="Z657" s="64"/>
      <c r="AA657" s="64"/>
      <c r="AB657" s="64"/>
      <c r="AC657" s="68"/>
      <c r="AD657" s="64"/>
    </row>
    <row r="658" ht="15.75" customHeight="1">
      <c r="A658" s="64"/>
      <c r="B658" s="64"/>
      <c r="C658" s="64"/>
      <c r="D658" s="64"/>
      <c r="E658" s="64"/>
      <c r="G658" s="68"/>
      <c r="H658" s="67"/>
      <c r="I658" s="64"/>
      <c r="J658" s="64"/>
      <c r="K658" s="64"/>
      <c r="L658" s="64"/>
      <c r="M658" s="64"/>
      <c r="N658" s="64"/>
      <c r="O658" s="64"/>
      <c r="P658" s="64"/>
      <c r="Q658" s="64"/>
      <c r="R658" s="64"/>
      <c r="S658" s="68"/>
      <c r="T658" s="64"/>
      <c r="U658" s="64"/>
      <c r="V658" s="64"/>
      <c r="W658" s="64"/>
      <c r="X658" s="64"/>
      <c r="Y658" s="64"/>
      <c r="Z658" s="64"/>
      <c r="AA658" s="64"/>
      <c r="AB658" s="64"/>
      <c r="AC658" s="68"/>
      <c r="AD658" s="64"/>
    </row>
    <row r="659" ht="15.75" customHeight="1">
      <c r="A659" s="64"/>
      <c r="B659" s="64"/>
      <c r="C659" s="64"/>
      <c r="D659" s="64"/>
      <c r="E659" s="64"/>
      <c r="G659" s="68"/>
      <c r="H659" s="67"/>
      <c r="I659" s="64"/>
      <c r="J659" s="64"/>
      <c r="K659" s="64"/>
      <c r="L659" s="64"/>
      <c r="M659" s="64"/>
      <c r="N659" s="64"/>
      <c r="O659" s="64"/>
      <c r="P659" s="64"/>
      <c r="Q659" s="64"/>
      <c r="R659" s="64"/>
      <c r="S659" s="68"/>
      <c r="T659" s="64"/>
      <c r="U659" s="64"/>
      <c r="V659" s="64"/>
      <c r="W659" s="64"/>
      <c r="X659" s="64"/>
      <c r="Y659" s="64"/>
      <c r="Z659" s="64"/>
      <c r="AA659" s="64"/>
      <c r="AB659" s="64"/>
      <c r="AC659" s="68"/>
      <c r="AD659" s="64"/>
    </row>
    <row r="660" ht="15.75" customHeight="1">
      <c r="A660" s="64"/>
      <c r="B660" s="64"/>
      <c r="C660" s="64"/>
      <c r="D660" s="64"/>
      <c r="E660" s="64"/>
      <c r="G660" s="68"/>
      <c r="H660" s="67"/>
      <c r="I660" s="64"/>
      <c r="J660" s="64"/>
      <c r="K660" s="64"/>
      <c r="L660" s="64"/>
      <c r="M660" s="64"/>
      <c r="N660" s="64"/>
      <c r="O660" s="64"/>
      <c r="P660" s="64"/>
      <c r="Q660" s="64"/>
      <c r="R660" s="64"/>
      <c r="S660" s="68"/>
      <c r="T660" s="64"/>
      <c r="U660" s="64"/>
      <c r="V660" s="64"/>
      <c r="W660" s="64"/>
      <c r="X660" s="64"/>
      <c r="Y660" s="64"/>
      <c r="Z660" s="64"/>
      <c r="AA660" s="64"/>
      <c r="AB660" s="64"/>
      <c r="AC660" s="68"/>
      <c r="AD660" s="64"/>
    </row>
    <row r="661" ht="15.75" customHeight="1">
      <c r="A661" s="64"/>
      <c r="B661" s="64"/>
      <c r="C661" s="64"/>
      <c r="D661" s="64"/>
      <c r="E661" s="64"/>
      <c r="G661" s="68"/>
      <c r="H661" s="67"/>
      <c r="I661" s="64"/>
      <c r="J661" s="64"/>
      <c r="K661" s="64"/>
      <c r="L661" s="64"/>
      <c r="M661" s="64"/>
      <c r="N661" s="64"/>
      <c r="O661" s="64"/>
      <c r="P661" s="64"/>
      <c r="Q661" s="64"/>
      <c r="R661" s="64"/>
      <c r="S661" s="68"/>
      <c r="T661" s="64"/>
      <c r="U661" s="64"/>
      <c r="V661" s="64"/>
      <c r="W661" s="64"/>
      <c r="X661" s="64"/>
      <c r="Y661" s="64"/>
      <c r="Z661" s="64"/>
      <c r="AA661" s="64"/>
      <c r="AB661" s="64"/>
      <c r="AC661" s="68"/>
      <c r="AD661" s="64"/>
    </row>
    <row r="662" ht="15.75" customHeight="1">
      <c r="A662" s="64"/>
      <c r="B662" s="64"/>
      <c r="C662" s="64"/>
      <c r="D662" s="64"/>
      <c r="E662" s="64"/>
      <c r="G662" s="68"/>
      <c r="H662" s="67"/>
      <c r="I662" s="64"/>
      <c r="J662" s="64"/>
      <c r="K662" s="64"/>
      <c r="L662" s="64"/>
      <c r="M662" s="64"/>
      <c r="N662" s="64"/>
      <c r="O662" s="64"/>
      <c r="P662" s="64"/>
      <c r="Q662" s="64"/>
      <c r="R662" s="64"/>
      <c r="S662" s="68"/>
      <c r="T662" s="64"/>
      <c r="U662" s="64"/>
      <c r="V662" s="64"/>
      <c r="W662" s="64"/>
      <c r="X662" s="64"/>
      <c r="Y662" s="64"/>
      <c r="Z662" s="64"/>
      <c r="AA662" s="64"/>
      <c r="AB662" s="64"/>
      <c r="AC662" s="68"/>
      <c r="AD662" s="64"/>
    </row>
    <row r="663" ht="15.75" customHeight="1">
      <c r="A663" s="64"/>
      <c r="B663" s="64"/>
      <c r="C663" s="64"/>
      <c r="D663" s="64"/>
      <c r="E663" s="64"/>
      <c r="G663" s="68"/>
      <c r="H663" s="67"/>
      <c r="I663" s="64"/>
      <c r="J663" s="64"/>
      <c r="K663" s="64"/>
      <c r="L663" s="64"/>
      <c r="M663" s="64"/>
      <c r="N663" s="64"/>
      <c r="O663" s="64"/>
      <c r="P663" s="64"/>
      <c r="Q663" s="64"/>
      <c r="R663" s="64"/>
      <c r="S663" s="68"/>
      <c r="T663" s="64"/>
      <c r="U663" s="64"/>
      <c r="V663" s="64"/>
      <c r="W663" s="64"/>
      <c r="X663" s="64"/>
      <c r="Y663" s="64"/>
      <c r="Z663" s="64"/>
      <c r="AA663" s="64"/>
      <c r="AB663" s="64"/>
      <c r="AC663" s="68"/>
      <c r="AD663" s="64"/>
    </row>
    <row r="664" ht="15.75" customHeight="1">
      <c r="A664" s="64"/>
      <c r="B664" s="64"/>
      <c r="C664" s="64"/>
      <c r="D664" s="64"/>
      <c r="E664" s="64"/>
      <c r="G664" s="68"/>
      <c r="H664" s="67"/>
      <c r="I664" s="64"/>
      <c r="J664" s="64"/>
      <c r="K664" s="64"/>
      <c r="L664" s="64"/>
      <c r="M664" s="64"/>
      <c r="N664" s="64"/>
      <c r="O664" s="64"/>
      <c r="P664" s="64"/>
      <c r="Q664" s="64"/>
      <c r="R664" s="64"/>
      <c r="S664" s="68"/>
      <c r="T664" s="64"/>
      <c r="U664" s="64"/>
      <c r="V664" s="64"/>
      <c r="W664" s="64"/>
      <c r="X664" s="64"/>
      <c r="Y664" s="64"/>
      <c r="Z664" s="64"/>
      <c r="AA664" s="64"/>
      <c r="AB664" s="64"/>
      <c r="AC664" s="68"/>
      <c r="AD664" s="64"/>
    </row>
    <row r="665" ht="15.75" customHeight="1">
      <c r="A665" s="64"/>
      <c r="B665" s="64"/>
      <c r="C665" s="64"/>
      <c r="D665" s="64"/>
      <c r="E665" s="64"/>
      <c r="G665" s="68"/>
      <c r="H665" s="67"/>
      <c r="I665" s="64"/>
      <c r="J665" s="64"/>
      <c r="K665" s="64"/>
      <c r="L665" s="64"/>
      <c r="M665" s="64"/>
      <c r="N665" s="64"/>
      <c r="O665" s="64"/>
      <c r="P665" s="64"/>
      <c r="Q665" s="64"/>
      <c r="R665" s="64"/>
      <c r="S665" s="68"/>
      <c r="T665" s="64"/>
      <c r="U665" s="64"/>
      <c r="V665" s="64"/>
      <c r="W665" s="64"/>
      <c r="X665" s="64"/>
      <c r="Y665" s="64"/>
      <c r="Z665" s="64"/>
      <c r="AA665" s="64"/>
      <c r="AB665" s="64"/>
      <c r="AC665" s="68"/>
      <c r="AD665" s="64"/>
    </row>
    <row r="666" ht="15.75" customHeight="1">
      <c r="A666" s="64"/>
      <c r="B666" s="64"/>
      <c r="C666" s="64"/>
      <c r="D666" s="64"/>
      <c r="E666" s="64"/>
      <c r="G666" s="68"/>
      <c r="H666" s="67"/>
      <c r="I666" s="64"/>
      <c r="J666" s="64"/>
      <c r="K666" s="64"/>
      <c r="L666" s="64"/>
      <c r="M666" s="64"/>
      <c r="N666" s="64"/>
      <c r="O666" s="64"/>
      <c r="P666" s="64"/>
      <c r="Q666" s="64"/>
      <c r="R666" s="64"/>
      <c r="S666" s="68"/>
      <c r="T666" s="64"/>
      <c r="U666" s="64"/>
      <c r="V666" s="64"/>
      <c r="W666" s="64"/>
      <c r="X666" s="64"/>
      <c r="Y666" s="64"/>
      <c r="Z666" s="64"/>
      <c r="AA666" s="64"/>
      <c r="AB666" s="64"/>
      <c r="AC666" s="68"/>
      <c r="AD666" s="64"/>
    </row>
    <row r="667" ht="15.75" customHeight="1">
      <c r="A667" s="64"/>
      <c r="B667" s="64"/>
      <c r="C667" s="64"/>
      <c r="D667" s="64"/>
      <c r="E667" s="64"/>
      <c r="G667" s="68"/>
      <c r="H667" s="67"/>
      <c r="I667" s="64"/>
      <c r="J667" s="64"/>
      <c r="K667" s="64"/>
      <c r="L667" s="64"/>
      <c r="M667" s="64"/>
      <c r="N667" s="64"/>
      <c r="O667" s="64"/>
      <c r="P667" s="64"/>
      <c r="Q667" s="64"/>
      <c r="R667" s="64"/>
      <c r="S667" s="68"/>
      <c r="T667" s="64"/>
      <c r="U667" s="64"/>
      <c r="V667" s="64"/>
      <c r="W667" s="64"/>
      <c r="X667" s="64"/>
      <c r="Y667" s="64"/>
      <c r="Z667" s="64"/>
      <c r="AA667" s="64"/>
      <c r="AB667" s="64"/>
      <c r="AC667" s="68"/>
      <c r="AD667" s="64"/>
    </row>
    <row r="668" ht="15.75" customHeight="1">
      <c r="A668" s="64"/>
      <c r="B668" s="64"/>
      <c r="C668" s="64"/>
      <c r="D668" s="64"/>
      <c r="E668" s="64"/>
      <c r="G668" s="68"/>
      <c r="H668" s="67"/>
      <c r="I668" s="64"/>
      <c r="J668" s="64"/>
      <c r="K668" s="64"/>
      <c r="L668" s="64"/>
      <c r="M668" s="64"/>
      <c r="N668" s="64"/>
      <c r="O668" s="64"/>
      <c r="P668" s="64"/>
      <c r="Q668" s="64"/>
      <c r="R668" s="64"/>
      <c r="S668" s="68"/>
      <c r="T668" s="64"/>
      <c r="U668" s="64"/>
      <c r="V668" s="64"/>
      <c r="W668" s="64"/>
      <c r="X668" s="64"/>
      <c r="Y668" s="64"/>
      <c r="Z668" s="64"/>
      <c r="AA668" s="64"/>
      <c r="AB668" s="64"/>
      <c r="AC668" s="68"/>
      <c r="AD668" s="64"/>
    </row>
    <row r="669" ht="15.75" customHeight="1">
      <c r="A669" s="64"/>
      <c r="B669" s="64"/>
      <c r="C669" s="64"/>
      <c r="D669" s="64"/>
      <c r="E669" s="64"/>
      <c r="G669" s="68"/>
      <c r="H669" s="67"/>
      <c r="I669" s="64"/>
      <c r="J669" s="64"/>
      <c r="K669" s="64"/>
      <c r="L669" s="64"/>
      <c r="M669" s="64"/>
      <c r="N669" s="64"/>
      <c r="O669" s="64"/>
      <c r="P669" s="64"/>
      <c r="Q669" s="64"/>
      <c r="R669" s="64"/>
      <c r="S669" s="68"/>
      <c r="T669" s="64"/>
      <c r="U669" s="64"/>
      <c r="V669" s="64"/>
      <c r="W669" s="64"/>
      <c r="X669" s="64"/>
      <c r="Y669" s="64"/>
      <c r="Z669" s="64"/>
      <c r="AA669" s="64"/>
      <c r="AB669" s="64"/>
      <c r="AC669" s="68"/>
      <c r="AD669" s="64"/>
    </row>
    <row r="670" ht="15.75" customHeight="1">
      <c r="A670" s="64"/>
      <c r="B670" s="64"/>
      <c r="C670" s="64"/>
      <c r="D670" s="64"/>
      <c r="E670" s="64"/>
      <c r="G670" s="68"/>
      <c r="H670" s="67"/>
      <c r="I670" s="64"/>
      <c r="J670" s="64"/>
      <c r="K670" s="64"/>
      <c r="L670" s="64"/>
      <c r="M670" s="64"/>
      <c r="N670" s="64"/>
      <c r="O670" s="64"/>
      <c r="P670" s="64"/>
      <c r="Q670" s="64"/>
      <c r="R670" s="64"/>
      <c r="S670" s="68"/>
      <c r="T670" s="64"/>
      <c r="U670" s="64"/>
      <c r="V670" s="64"/>
      <c r="W670" s="64"/>
      <c r="X670" s="64"/>
      <c r="Y670" s="64"/>
      <c r="Z670" s="64"/>
      <c r="AA670" s="64"/>
      <c r="AB670" s="64"/>
      <c r="AC670" s="68"/>
      <c r="AD670" s="64"/>
    </row>
    <row r="671" ht="15.75" customHeight="1">
      <c r="A671" s="64"/>
      <c r="B671" s="64"/>
      <c r="C671" s="64"/>
      <c r="D671" s="64"/>
      <c r="E671" s="64"/>
      <c r="G671" s="68"/>
      <c r="H671" s="67"/>
      <c r="I671" s="64"/>
      <c r="J671" s="64"/>
      <c r="K671" s="64"/>
      <c r="L671" s="64"/>
      <c r="M671" s="64"/>
      <c r="N671" s="64"/>
      <c r="O671" s="64"/>
      <c r="P671" s="64"/>
      <c r="Q671" s="64"/>
      <c r="R671" s="64"/>
      <c r="S671" s="68"/>
      <c r="T671" s="64"/>
      <c r="U671" s="64"/>
      <c r="V671" s="64"/>
      <c r="W671" s="64"/>
      <c r="X671" s="64"/>
      <c r="Y671" s="64"/>
      <c r="Z671" s="64"/>
      <c r="AA671" s="64"/>
      <c r="AB671" s="64"/>
      <c r="AC671" s="68"/>
      <c r="AD671" s="64"/>
    </row>
    <row r="672" ht="15.75" customHeight="1">
      <c r="A672" s="64"/>
      <c r="B672" s="64"/>
      <c r="C672" s="64"/>
      <c r="D672" s="64"/>
      <c r="E672" s="64"/>
      <c r="G672" s="68"/>
      <c r="H672" s="67"/>
      <c r="I672" s="64"/>
      <c r="J672" s="64"/>
      <c r="K672" s="64"/>
      <c r="L672" s="64"/>
      <c r="M672" s="64"/>
      <c r="N672" s="64"/>
      <c r="O672" s="64"/>
      <c r="P672" s="64"/>
      <c r="Q672" s="64"/>
      <c r="R672" s="64"/>
      <c r="S672" s="68"/>
      <c r="T672" s="64"/>
      <c r="U672" s="64"/>
      <c r="V672" s="64"/>
      <c r="W672" s="64"/>
      <c r="X672" s="64"/>
      <c r="Y672" s="64"/>
      <c r="Z672" s="64"/>
      <c r="AA672" s="64"/>
      <c r="AB672" s="64"/>
      <c r="AC672" s="68"/>
      <c r="AD672" s="64"/>
    </row>
    <row r="673" ht="15.75" customHeight="1">
      <c r="A673" s="64"/>
      <c r="B673" s="64"/>
      <c r="C673" s="64"/>
      <c r="D673" s="64"/>
      <c r="E673" s="64"/>
      <c r="G673" s="68"/>
      <c r="H673" s="67"/>
      <c r="I673" s="64"/>
      <c r="J673" s="64"/>
      <c r="K673" s="64"/>
      <c r="L673" s="64"/>
      <c r="M673" s="64"/>
      <c r="N673" s="64"/>
      <c r="O673" s="64"/>
      <c r="P673" s="64"/>
      <c r="Q673" s="64"/>
      <c r="R673" s="64"/>
      <c r="S673" s="68"/>
      <c r="T673" s="64"/>
      <c r="U673" s="64"/>
      <c r="V673" s="64"/>
      <c r="W673" s="64"/>
      <c r="X673" s="64"/>
      <c r="Y673" s="64"/>
      <c r="Z673" s="64"/>
      <c r="AA673" s="64"/>
      <c r="AB673" s="64"/>
      <c r="AC673" s="68"/>
      <c r="AD673" s="64"/>
    </row>
    <row r="674" ht="15.75" customHeight="1">
      <c r="A674" s="64"/>
      <c r="B674" s="64"/>
      <c r="C674" s="64"/>
      <c r="D674" s="64"/>
      <c r="E674" s="64"/>
      <c r="G674" s="68"/>
      <c r="H674" s="67"/>
      <c r="I674" s="64"/>
      <c r="J674" s="64"/>
      <c r="K674" s="64"/>
      <c r="L674" s="64"/>
      <c r="M674" s="64"/>
      <c r="N674" s="64"/>
      <c r="O674" s="64"/>
      <c r="P674" s="64"/>
      <c r="Q674" s="64"/>
      <c r="R674" s="64"/>
      <c r="S674" s="68"/>
      <c r="T674" s="64"/>
      <c r="U674" s="64"/>
      <c r="V674" s="64"/>
      <c r="W674" s="64"/>
      <c r="X674" s="64"/>
      <c r="Y674" s="64"/>
      <c r="Z674" s="64"/>
      <c r="AA674" s="64"/>
      <c r="AB674" s="64"/>
      <c r="AC674" s="68"/>
      <c r="AD674" s="64"/>
    </row>
    <row r="675" ht="15.75" customHeight="1">
      <c r="A675" s="64"/>
      <c r="B675" s="64"/>
      <c r="C675" s="64"/>
      <c r="D675" s="64"/>
      <c r="E675" s="64"/>
      <c r="G675" s="68"/>
      <c r="H675" s="67"/>
      <c r="I675" s="64"/>
      <c r="J675" s="64"/>
      <c r="K675" s="64"/>
      <c r="L675" s="64"/>
      <c r="M675" s="64"/>
      <c r="N675" s="64"/>
      <c r="O675" s="64"/>
      <c r="P675" s="64"/>
      <c r="Q675" s="64"/>
      <c r="R675" s="64"/>
      <c r="S675" s="68"/>
      <c r="T675" s="64"/>
      <c r="U675" s="64"/>
      <c r="V675" s="64"/>
      <c r="W675" s="64"/>
      <c r="X675" s="64"/>
      <c r="Y675" s="64"/>
      <c r="Z675" s="64"/>
      <c r="AA675" s="64"/>
      <c r="AB675" s="64"/>
      <c r="AC675" s="68"/>
      <c r="AD675" s="64"/>
    </row>
    <row r="676" ht="15.75" customHeight="1">
      <c r="A676" s="64"/>
      <c r="B676" s="64"/>
      <c r="C676" s="64"/>
      <c r="D676" s="64"/>
      <c r="E676" s="64"/>
      <c r="G676" s="68"/>
      <c r="H676" s="67"/>
      <c r="I676" s="64"/>
      <c r="J676" s="64"/>
      <c r="K676" s="64"/>
      <c r="L676" s="64"/>
      <c r="M676" s="64"/>
      <c r="N676" s="64"/>
      <c r="O676" s="64"/>
      <c r="P676" s="64"/>
      <c r="Q676" s="64"/>
      <c r="R676" s="64"/>
      <c r="S676" s="68"/>
      <c r="T676" s="64"/>
      <c r="U676" s="64"/>
      <c r="V676" s="64"/>
      <c r="W676" s="64"/>
      <c r="X676" s="64"/>
      <c r="Y676" s="64"/>
      <c r="Z676" s="64"/>
      <c r="AA676" s="64"/>
      <c r="AB676" s="64"/>
      <c r="AC676" s="68"/>
      <c r="AD676" s="64"/>
    </row>
    <row r="677" ht="15.75" customHeight="1">
      <c r="A677" s="64"/>
      <c r="B677" s="64"/>
      <c r="C677" s="64"/>
      <c r="D677" s="64"/>
      <c r="E677" s="64"/>
      <c r="G677" s="68"/>
      <c r="H677" s="67"/>
      <c r="I677" s="64"/>
      <c r="J677" s="64"/>
      <c r="K677" s="64"/>
      <c r="L677" s="64"/>
      <c r="M677" s="64"/>
      <c r="N677" s="64"/>
      <c r="O677" s="64"/>
      <c r="P677" s="64"/>
      <c r="Q677" s="64"/>
      <c r="R677" s="64"/>
      <c r="S677" s="68"/>
      <c r="T677" s="64"/>
      <c r="U677" s="64"/>
      <c r="V677" s="64"/>
      <c r="W677" s="64"/>
      <c r="X677" s="64"/>
      <c r="Y677" s="64"/>
      <c r="Z677" s="64"/>
      <c r="AA677" s="64"/>
      <c r="AB677" s="64"/>
      <c r="AC677" s="68"/>
      <c r="AD677" s="64"/>
    </row>
    <row r="678" ht="15.75" customHeight="1">
      <c r="A678" s="64"/>
      <c r="B678" s="64"/>
      <c r="C678" s="64"/>
      <c r="D678" s="64"/>
      <c r="E678" s="64"/>
      <c r="G678" s="68"/>
      <c r="H678" s="67"/>
      <c r="I678" s="64"/>
      <c r="J678" s="64"/>
      <c r="K678" s="64"/>
      <c r="L678" s="64"/>
      <c r="M678" s="64"/>
      <c r="N678" s="64"/>
      <c r="O678" s="64"/>
      <c r="P678" s="64"/>
      <c r="Q678" s="64"/>
      <c r="R678" s="64"/>
      <c r="S678" s="68"/>
      <c r="T678" s="64"/>
      <c r="U678" s="64"/>
      <c r="V678" s="64"/>
      <c r="W678" s="64"/>
      <c r="X678" s="64"/>
      <c r="Y678" s="64"/>
      <c r="Z678" s="64"/>
      <c r="AA678" s="64"/>
      <c r="AB678" s="64"/>
      <c r="AC678" s="68"/>
      <c r="AD678" s="64"/>
    </row>
    <row r="679" ht="15.75" customHeight="1">
      <c r="A679" s="64"/>
      <c r="B679" s="64"/>
      <c r="C679" s="64"/>
      <c r="D679" s="64"/>
      <c r="E679" s="64"/>
      <c r="G679" s="68"/>
      <c r="H679" s="67"/>
      <c r="I679" s="64"/>
      <c r="J679" s="64"/>
      <c r="K679" s="64"/>
      <c r="L679" s="64"/>
      <c r="M679" s="64"/>
      <c r="N679" s="64"/>
      <c r="O679" s="64"/>
      <c r="P679" s="64"/>
      <c r="Q679" s="64"/>
      <c r="R679" s="64"/>
      <c r="S679" s="68"/>
      <c r="T679" s="64"/>
      <c r="U679" s="64"/>
      <c r="V679" s="64"/>
      <c r="W679" s="64"/>
      <c r="X679" s="64"/>
      <c r="Y679" s="64"/>
      <c r="Z679" s="64"/>
      <c r="AA679" s="64"/>
      <c r="AB679" s="64"/>
      <c r="AC679" s="68"/>
      <c r="AD679" s="64"/>
    </row>
    <row r="680" ht="15.75" customHeight="1">
      <c r="A680" s="64"/>
      <c r="B680" s="64"/>
      <c r="C680" s="64"/>
      <c r="D680" s="64"/>
      <c r="E680" s="64"/>
      <c r="G680" s="68"/>
      <c r="H680" s="67"/>
      <c r="I680" s="64"/>
      <c r="J680" s="64"/>
      <c r="K680" s="64"/>
      <c r="L680" s="64"/>
      <c r="M680" s="64"/>
      <c r="N680" s="64"/>
      <c r="O680" s="64"/>
      <c r="P680" s="64"/>
      <c r="Q680" s="64"/>
      <c r="R680" s="64"/>
      <c r="S680" s="68"/>
      <c r="T680" s="64"/>
      <c r="U680" s="64"/>
      <c r="V680" s="64"/>
      <c r="W680" s="64"/>
      <c r="X680" s="64"/>
      <c r="Y680" s="64"/>
      <c r="Z680" s="64"/>
      <c r="AA680" s="64"/>
      <c r="AB680" s="64"/>
      <c r="AC680" s="68"/>
      <c r="AD680" s="64"/>
    </row>
    <row r="681" ht="15.75" customHeight="1">
      <c r="A681" s="64"/>
      <c r="B681" s="64"/>
      <c r="C681" s="64"/>
      <c r="D681" s="64"/>
      <c r="E681" s="64"/>
      <c r="G681" s="68"/>
      <c r="H681" s="67"/>
      <c r="I681" s="64"/>
      <c r="J681" s="64"/>
      <c r="K681" s="64"/>
      <c r="L681" s="64"/>
      <c r="M681" s="64"/>
      <c r="N681" s="64"/>
      <c r="O681" s="64"/>
      <c r="P681" s="64"/>
      <c r="Q681" s="64"/>
      <c r="R681" s="64"/>
      <c r="S681" s="68"/>
      <c r="T681" s="64"/>
      <c r="U681" s="64"/>
      <c r="V681" s="64"/>
      <c r="W681" s="64"/>
      <c r="X681" s="64"/>
      <c r="Y681" s="64"/>
      <c r="Z681" s="64"/>
      <c r="AA681" s="64"/>
      <c r="AB681" s="64"/>
      <c r="AC681" s="68"/>
      <c r="AD681" s="64"/>
    </row>
    <row r="682" ht="15.75" customHeight="1">
      <c r="A682" s="64"/>
      <c r="B682" s="64"/>
      <c r="C682" s="64"/>
      <c r="D682" s="64"/>
      <c r="E682" s="64"/>
      <c r="G682" s="68"/>
      <c r="H682" s="67"/>
      <c r="I682" s="64"/>
      <c r="J682" s="64"/>
      <c r="K682" s="64"/>
      <c r="L682" s="64"/>
      <c r="M682" s="64"/>
      <c r="N682" s="64"/>
      <c r="O682" s="64"/>
      <c r="P682" s="64"/>
      <c r="Q682" s="64"/>
      <c r="R682" s="64"/>
      <c r="S682" s="68"/>
      <c r="T682" s="64"/>
      <c r="U682" s="64"/>
      <c r="V682" s="64"/>
      <c r="W682" s="64"/>
      <c r="X682" s="64"/>
      <c r="Y682" s="64"/>
      <c r="Z682" s="64"/>
      <c r="AA682" s="64"/>
      <c r="AB682" s="64"/>
      <c r="AC682" s="68"/>
      <c r="AD682" s="64"/>
    </row>
    <row r="683" ht="15.75" customHeight="1">
      <c r="A683" s="64"/>
      <c r="B683" s="64"/>
      <c r="C683" s="64"/>
      <c r="D683" s="64"/>
      <c r="E683" s="64"/>
      <c r="G683" s="68"/>
      <c r="H683" s="67"/>
      <c r="I683" s="64"/>
      <c r="J683" s="64"/>
      <c r="K683" s="64"/>
      <c r="L683" s="64"/>
      <c r="M683" s="64"/>
      <c r="N683" s="64"/>
      <c r="O683" s="64"/>
      <c r="P683" s="64"/>
      <c r="Q683" s="64"/>
      <c r="R683" s="64"/>
      <c r="S683" s="68"/>
      <c r="T683" s="64"/>
      <c r="U683" s="64"/>
      <c r="V683" s="64"/>
      <c r="W683" s="64"/>
      <c r="X683" s="64"/>
      <c r="Y683" s="64"/>
      <c r="Z683" s="64"/>
      <c r="AA683" s="64"/>
      <c r="AB683" s="64"/>
      <c r="AC683" s="68"/>
      <c r="AD683" s="64"/>
    </row>
    <row r="684" ht="15.75" customHeight="1">
      <c r="A684" s="64"/>
      <c r="B684" s="64"/>
      <c r="C684" s="64"/>
      <c r="D684" s="64"/>
      <c r="E684" s="64"/>
      <c r="G684" s="68"/>
      <c r="H684" s="67"/>
      <c r="I684" s="64"/>
      <c r="J684" s="64"/>
      <c r="K684" s="64"/>
      <c r="L684" s="64"/>
      <c r="M684" s="64"/>
      <c r="N684" s="64"/>
      <c r="O684" s="64"/>
      <c r="P684" s="64"/>
      <c r="Q684" s="64"/>
      <c r="R684" s="64"/>
      <c r="S684" s="68"/>
      <c r="T684" s="64"/>
      <c r="U684" s="64"/>
      <c r="V684" s="64"/>
      <c r="W684" s="64"/>
      <c r="X684" s="64"/>
      <c r="Y684" s="64"/>
      <c r="Z684" s="64"/>
      <c r="AA684" s="64"/>
      <c r="AB684" s="64"/>
      <c r="AC684" s="68"/>
      <c r="AD684" s="64"/>
    </row>
    <row r="685" ht="15.75" customHeight="1">
      <c r="A685" s="64"/>
      <c r="B685" s="64"/>
      <c r="C685" s="64"/>
      <c r="D685" s="64"/>
      <c r="E685" s="64"/>
      <c r="G685" s="68"/>
      <c r="H685" s="67"/>
      <c r="I685" s="64"/>
      <c r="J685" s="64"/>
      <c r="K685" s="64"/>
      <c r="L685" s="64"/>
      <c r="M685" s="64"/>
      <c r="N685" s="64"/>
      <c r="O685" s="64"/>
      <c r="P685" s="64"/>
      <c r="Q685" s="64"/>
      <c r="R685" s="64"/>
      <c r="S685" s="68"/>
      <c r="T685" s="64"/>
      <c r="U685" s="64"/>
      <c r="V685" s="64"/>
      <c r="W685" s="64"/>
      <c r="X685" s="64"/>
      <c r="Y685" s="64"/>
      <c r="Z685" s="64"/>
      <c r="AA685" s="64"/>
      <c r="AB685" s="64"/>
      <c r="AC685" s="68"/>
      <c r="AD685" s="64"/>
    </row>
    <row r="686" ht="15.75" customHeight="1">
      <c r="A686" s="64"/>
      <c r="B686" s="64"/>
      <c r="C686" s="64"/>
      <c r="D686" s="64"/>
      <c r="E686" s="64"/>
      <c r="G686" s="68"/>
      <c r="H686" s="67"/>
      <c r="I686" s="64"/>
      <c r="J686" s="64"/>
      <c r="K686" s="64"/>
      <c r="L686" s="64"/>
      <c r="M686" s="64"/>
      <c r="N686" s="64"/>
      <c r="O686" s="64"/>
      <c r="P686" s="64"/>
      <c r="Q686" s="64"/>
      <c r="R686" s="64"/>
      <c r="S686" s="68"/>
      <c r="T686" s="64"/>
      <c r="U686" s="64"/>
      <c r="V686" s="64"/>
      <c r="W686" s="64"/>
      <c r="X686" s="64"/>
      <c r="Y686" s="64"/>
      <c r="Z686" s="64"/>
      <c r="AA686" s="64"/>
      <c r="AB686" s="64"/>
      <c r="AC686" s="68"/>
      <c r="AD686" s="64"/>
    </row>
    <row r="687" ht="15.75" customHeight="1">
      <c r="A687" s="64"/>
      <c r="B687" s="64"/>
      <c r="C687" s="64"/>
      <c r="D687" s="64"/>
      <c r="E687" s="64"/>
      <c r="G687" s="68"/>
      <c r="H687" s="67"/>
      <c r="I687" s="64"/>
      <c r="J687" s="64"/>
      <c r="K687" s="64"/>
      <c r="L687" s="64"/>
      <c r="M687" s="64"/>
      <c r="N687" s="64"/>
      <c r="O687" s="64"/>
      <c r="P687" s="64"/>
      <c r="Q687" s="64"/>
      <c r="R687" s="64"/>
      <c r="S687" s="68"/>
      <c r="T687" s="64"/>
      <c r="U687" s="64"/>
      <c r="V687" s="64"/>
      <c r="W687" s="64"/>
      <c r="X687" s="64"/>
      <c r="Y687" s="64"/>
      <c r="Z687" s="64"/>
      <c r="AA687" s="64"/>
      <c r="AB687" s="64"/>
      <c r="AC687" s="68"/>
      <c r="AD687" s="64"/>
    </row>
    <row r="688" ht="15.75" customHeight="1">
      <c r="A688" s="64"/>
      <c r="B688" s="64"/>
      <c r="C688" s="64"/>
      <c r="D688" s="64"/>
      <c r="E688" s="64"/>
      <c r="G688" s="68"/>
      <c r="H688" s="67"/>
      <c r="I688" s="64"/>
      <c r="J688" s="64"/>
      <c r="K688" s="64"/>
      <c r="L688" s="64"/>
      <c r="M688" s="64"/>
      <c r="N688" s="64"/>
      <c r="O688" s="64"/>
      <c r="P688" s="64"/>
      <c r="Q688" s="64"/>
      <c r="R688" s="64"/>
      <c r="S688" s="68"/>
      <c r="T688" s="64"/>
      <c r="U688" s="64"/>
      <c r="V688" s="64"/>
      <c r="W688" s="64"/>
      <c r="X688" s="64"/>
      <c r="Y688" s="64"/>
      <c r="Z688" s="64"/>
      <c r="AA688" s="64"/>
      <c r="AB688" s="64"/>
      <c r="AC688" s="68"/>
      <c r="AD688" s="64"/>
    </row>
    <row r="689" ht="15.75" customHeight="1">
      <c r="A689" s="64"/>
      <c r="B689" s="64"/>
      <c r="C689" s="64"/>
      <c r="D689" s="64"/>
      <c r="E689" s="64"/>
      <c r="G689" s="68"/>
      <c r="H689" s="67"/>
      <c r="I689" s="64"/>
      <c r="J689" s="64"/>
      <c r="K689" s="64"/>
      <c r="L689" s="64"/>
      <c r="M689" s="64"/>
      <c r="N689" s="64"/>
      <c r="O689" s="64"/>
      <c r="P689" s="64"/>
      <c r="Q689" s="64"/>
      <c r="R689" s="64"/>
      <c r="S689" s="68"/>
      <c r="T689" s="64"/>
      <c r="U689" s="64"/>
      <c r="V689" s="64"/>
      <c r="W689" s="64"/>
      <c r="X689" s="64"/>
      <c r="Y689" s="64"/>
      <c r="Z689" s="64"/>
      <c r="AA689" s="64"/>
      <c r="AB689" s="64"/>
      <c r="AC689" s="68"/>
      <c r="AD689" s="64"/>
    </row>
    <row r="690" ht="15.75" customHeight="1">
      <c r="A690" s="64"/>
      <c r="B690" s="64"/>
      <c r="C690" s="64"/>
      <c r="D690" s="64"/>
      <c r="E690" s="64"/>
      <c r="G690" s="68"/>
      <c r="H690" s="67"/>
      <c r="I690" s="64"/>
      <c r="J690" s="64"/>
      <c r="K690" s="64"/>
      <c r="L690" s="64"/>
      <c r="M690" s="64"/>
      <c r="N690" s="64"/>
      <c r="O690" s="64"/>
      <c r="P690" s="64"/>
      <c r="Q690" s="64"/>
      <c r="R690" s="64"/>
      <c r="S690" s="68"/>
      <c r="T690" s="64"/>
      <c r="U690" s="64"/>
      <c r="V690" s="64"/>
      <c r="W690" s="64"/>
      <c r="X690" s="64"/>
      <c r="Y690" s="64"/>
      <c r="Z690" s="64"/>
      <c r="AA690" s="64"/>
      <c r="AB690" s="64"/>
      <c r="AC690" s="68"/>
      <c r="AD690" s="64"/>
    </row>
    <row r="691" ht="15.75" customHeight="1">
      <c r="A691" s="64"/>
      <c r="B691" s="64"/>
      <c r="C691" s="64"/>
      <c r="D691" s="64"/>
      <c r="E691" s="64"/>
      <c r="G691" s="68"/>
      <c r="H691" s="67"/>
      <c r="I691" s="64"/>
      <c r="J691" s="64"/>
      <c r="K691" s="64"/>
      <c r="L691" s="64"/>
      <c r="M691" s="64"/>
      <c r="N691" s="64"/>
      <c r="O691" s="64"/>
      <c r="P691" s="64"/>
      <c r="Q691" s="64"/>
      <c r="R691" s="64"/>
      <c r="S691" s="68"/>
      <c r="T691" s="64"/>
      <c r="U691" s="64"/>
      <c r="V691" s="64"/>
      <c r="W691" s="64"/>
      <c r="X691" s="64"/>
      <c r="Y691" s="64"/>
      <c r="Z691" s="64"/>
      <c r="AA691" s="64"/>
      <c r="AB691" s="64"/>
      <c r="AC691" s="68"/>
      <c r="AD691" s="64"/>
    </row>
    <row r="692" ht="15.75" customHeight="1">
      <c r="A692" s="64"/>
      <c r="B692" s="64"/>
      <c r="C692" s="64"/>
      <c r="D692" s="64"/>
      <c r="E692" s="64"/>
      <c r="G692" s="68"/>
      <c r="H692" s="67"/>
      <c r="I692" s="64"/>
      <c r="J692" s="64"/>
      <c r="K692" s="64"/>
      <c r="L692" s="64"/>
      <c r="M692" s="64"/>
      <c r="N692" s="64"/>
      <c r="O692" s="64"/>
      <c r="P692" s="64"/>
      <c r="Q692" s="64"/>
      <c r="R692" s="64"/>
      <c r="S692" s="68"/>
      <c r="T692" s="64"/>
      <c r="U692" s="64"/>
      <c r="V692" s="64"/>
      <c r="W692" s="64"/>
      <c r="X692" s="64"/>
      <c r="Y692" s="64"/>
      <c r="Z692" s="64"/>
      <c r="AA692" s="64"/>
      <c r="AB692" s="64"/>
      <c r="AC692" s="68"/>
      <c r="AD692" s="64"/>
    </row>
    <row r="693" ht="15.75" customHeight="1">
      <c r="A693" s="64"/>
      <c r="B693" s="64"/>
      <c r="C693" s="64"/>
      <c r="D693" s="64"/>
      <c r="E693" s="64"/>
      <c r="G693" s="68"/>
      <c r="H693" s="67"/>
      <c r="I693" s="64"/>
      <c r="J693" s="64"/>
      <c r="K693" s="64"/>
      <c r="L693" s="64"/>
      <c r="M693" s="64"/>
      <c r="N693" s="64"/>
      <c r="O693" s="64"/>
      <c r="P693" s="64"/>
      <c r="Q693" s="64"/>
      <c r="R693" s="64"/>
      <c r="S693" s="68"/>
      <c r="T693" s="64"/>
      <c r="U693" s="64"/>
      <c r="V693" s="64"/>
      <c r="W693" s="64"/>
      <c r="X693" s="64"/>
      <c r="Y693" s="64"/>
      <c r="Z693" s="64"/>
      <c r="AA693" s="64"/>
      <c r="AB693" s="64"/>
      <c r="AC693" s="68"/>
      <c r="AD693" s="64"/>
    </row>
    <row r="694" ht="15.75" customHeight="1">
      <c r="A694" s="64"/>
      <c r="B694" s="64"/>
      <c r="C694" s="64"/>
      <c r="D694" s="64"/>
      <c r="E694" s="64"/>
      <c r="G694" s="68"/>
      <c r="H694" s="67"/>
      <c r="I694" s="64"/>
      <c r="J694" s="64"/>
      <c r="K694" s="64"/>
      <c r="L694" s="64"/>
      <c r="M694" s="64"/>
      <c r="N694" s="64"/>
      <c r="O694" s="64"/>
      <c r="P694" s="64"/>
      <c r="Q694" s="64"/>
      <c r="R694" s="64"/>
      <c r="S694" s="68"/>
      <c r="T694" s="64"/>
      <c r="U694" s="64"/>
      <c r="V694" s="64"/>
      <c r="W694" s="64"/>
      <c r="X694" s="64"/>
      <c r="Y694" s="64"/>
      <c r="Z694" s="64"/>
      <c r="AA694" s="64"/>
      <c r="AB694" s="64"/>
      <c r="AC694" s="68"/>
      <c r="AD694" s="64"/>
    </row>
    <row r="695" ht="15.75" customHeight="1">
      <c r="A695" s="64"/>
      <c r="B695" s="64"/>
      <c r="C695" s="64"/>
      <c r="D695" s="64"/>
      <c r="E695" s="64"/>
      <c r="G695" s="68"/>
      <c r="H695" s="67"/>
      <c r="I695" s="64"/>
      <c r="J695" s="64"/>
      <c r="K695" s="64"/>
      <c r="L695" s="64"/>
      <c r="M695" s="64"/>
      <c r="N695" s="64"/>
      <c r="O695" s="64"/>
      <c r="P695" s="64"/>
      <c r="Q695" s="64"/>
      <c r="R695" s="64"/>
      <c r="S695" s="68"/>
      <c r="T695" s="64"/>
      <c r="U695" s="64"/>
      <c r="V695" s="64"/>
      <c r="W695" s="64"/>
      <c r="X695" s="64"/>
      <c r="Y695" s="64"/>
      <c r="Z695" s="64"/>
      <c r="AA695" s="64"/>
      <c r="AB695" s="64"/>
      <c r="AC695" s="68"/>
      <c r="AD695" s="64"/>
    </row>
    <row r="696" ht="15.75" customHeight="1">
      <c r="A696" s="64"/>
      <c r="B696" s="64"/>
      <c r="C696" s="64"/>
      <c r="D696" s="64"/>
      <c r="E696" s="64"/>
      <c r="G696" s="68"/>
      <c r="H696" s="67"/>
      <c r="I696" s="64"/>
      <c r="J696" s="64"/>
      <c r="K696" s="64"/>
      <c r="L696" s="64"/>
      <c r="M696" s="64"/>
      <c r="N696" s="64"/>
      <c r="O696" s="64"/>
      <c r="P696" s="64"/>
      <c r="Q696" s="64"/>
      <c r="R696" s="64"/>
      <c r="S696" s="68"/>
      <c r="T696" s="64"/>
      <c r="U696" s="64"/>
      <c r="V696" s="64"/>
      <c r="W696" s="64"/>
      <c r="X696" s="64"/>
      <c r="Y696" s="64"/>
      <c r="Z696" s="64"/>
      <c r="AA696" s="64"/>
      <c r="AB696" s="64"/>
      <c r="AC696" s="68"/>
      <c r="AD696" s="64"/>
    </row>
    <row r="697" ht="15.75" customHeight="1">
      <c r="A697" s="64"/>
      <c r="B697" s="64"/>
      <c r="C697" s="64"/>
      <c r="D697" s="64"/>
      <c r="E697" s="64"/>
      <c r="G697" s="68"/>
      <c r="H697" s="67"/>
      <c r="I697" s="64"/>
      <c r="J697" s="64"/>
      <c r="K697" s="64"/>
      <c r="L697" s="64"/>
      <c r="M697" s="64"/>
      <c r="N697" s="64"/>
      <c r="O697" s="64"/>
      <c r="P697" s="64"/>
      <c r="Q697" s="64"/>
      <c r="R697" s="64"/>
      <c r="S697" s="68"/>
      <c r="T697" s="64"/>
      <c r="U697" s="64"/>
      <c r="V697" s="64"/>
      <c r="W697" s="64"/>
      <c r="X697" s="64"/>
      <c r="Y697" s="64"/>
      <c r="Z697" s="64"/>
      <c r="AA697" s="64"/>
      <c r="AB697" s="64"/>
      <c r="AC697" s="68"/>
      <c r="AD697" s="64"/>
    </row>
    <row r="698" ht="15.75" customHeight="1">
      <c r="A698" s="64"/>
      <c r="B698" s="64"/>
      <c r="C698" s="64"/>
      <c r="D698" s="64"/>
      <c r="E698" s="64"/>
      <c r="G698" s="68"/>
      <c r="H698" s="67"/>
      <c r="I698" s="64"/>
      <c r="J698" s="64"/>
      <c r="K698" s="64"/>
      <c r="L698" s="64"/>
      <c r="M698" s="64"/>
      <c r="N698" s="64"/>
      <c r="O698" s="64"/>
      <c r="P698" s="64"/>
      <c r="Q698" s="64"/>
      <c r="R698" s="64"/>
      <c r="S698" s="68"/>
      <c r="T698" s="64"/>
      <c r="U698" s="64"/>
      <c r="V698" s="64"/>
      <c r="W698" s="64"/>
      <c r="X698" s="64"/>
      <c r="Y698" s="64"/>
      <c r="Z698" s="64"/>
      <c r="AA698" s="64"/>
      <c r="AB698" s="64"/>
      <c r="AC698" s="68"/>
      <c r="AD698" s="64"/>
    </row>
    <row r="699" ht="15.75" customHeight="1">
      <c r="A699" s="64"/>
      <c r="B699" s="64"/>
      <c r="C699" s="64"/>
      <c r="D699" s="64"/>
      <c r="E699" s="64"/>
      <c r="G699" s="68"/>
      <c r="H699" s="67"/>
      <c r="I699" s="64"/>
      <c r="J699" s="64"/>
      <c r="K699" s="64"/>
      <c r="L699" s="64"/>
      <c r="M699" s="64"/>
      <c r="N699" s="64"/>
      <c r="O699" s="64"/>
      <c r="P699" s="64"/>
      <c r="Q699" s="64"/>
      <c r="R699" s="64"/>
      <c r="S699" s="68"/>
      <c r="T699" s="64"/>
      <c r="U699" s="64"/>
      <c r="V699" s="64"/>
      <c r="W699" s="64"/>
      <c r="X699" s="64"/>
      <c r="Y699" s="64"/>
      <c r="Z699" s="64"/>
      <c r="AA699" s="64"/>
      <c r="AB699" s="64"/>
      <c r="AC699" s="68"/>
      <c r="AD699" s="64"/>
    </row>
    <row r="700" ht="15.75" customHeight="1">
      <c r="A700" s="64"/>
      <c r="B700" s="64"/>
      <c r="C700" s="64"/>
      <c r="D700" s="64"/>
      <c r="E700" s="64"/>
      <c r="G700" s="68"/>
      <c r="H700" s="67"/>
      <c r="I700" s="64"/>
      <c r="J700" s="64"/>
      <c r="K700" s="64"/>
      <c r="L700" s="64"/>
      <c r="M700" s="64"/>
      <c r="N700" s="64"/>
      <c r="O700" s="64"/>
      <c r="P700" s="64"/>
      <c r="Q700" s="64"/>
      <c r="R700" s="64"/>
      <c r="S700" s="68"/>
      <c r="T700" s="64"/>
      <c r="U700" s="64"/>
      <c r="V700" s="64"/>
      <c r="W700" s="64"/>
      <c r="X700" s="64"/>
      <c r="Y700" s="64"/>
      <c r="Z700" s="64"/>
      <c r="AA700" s="64"/>
      <c r="AB700" s="64"/>
      <c r="AC700" s="68"/>
      <c r="AD700" s="64"/>
    </row>
    <row r="701" ht="15.75" customHeight="1">
      <c r="A701" s="64"/>
      <c r="B701" s="64"/>
      <c r="C701" s="64"/>
      <c r="D701" s="64"/>
      <c r="E701" s="64"/>
      <c r="G701" s="68"/>
      <c r="H701" s="67"/>
      <c r="I701" s="64"/>
      <c r="J701" s="64"/>
      <c r="K701" s="64"/>
      <c r="L701" s="64"/>
      <c r="M701" s="64"/>
      <c r="N701" s="64"/>
      <c r="O701" s="64"/>
      <c r="P701" s="64"/>
      <c r="Q701" s="64"/>
      <c r="R701" s="64"/>
      <c r="S701" s="68"/>
      <c r="T701" s="64"/>
      <c r="U701" s="64"/>
      <c r="V701" s="64"/>
      <c r="W701" s="64"/>
      <c r="X701" s="64"/>
      <c r="Y701" s="64"/>
      <c r="Z701" s="64"/>
      <c r="AA701" s="64"/>
      <c r="AB701" s="64"/>
      <c r="AC701" s="68"/>
      <c r="AD701" s="64"/>
    </row>
    <row r="702" ht="15.75" customHeight="1">
      <c r="A702" s="64"/>
      <c r="B702" s="64"/>
      <c r="C702" s="64"/>
      <c r="D702" s="64"/>
      <c r="E702" s="64"/>
      <c r="G702" s="68"/>
      <c r="H702" s="67"/>
      <c r="I702" s="64"/>
      <c r="J702" s="64"/>
      <c r="K702" s="64"/>
      <c r="L702" s="64"/>
      <c r="M702" s="64"/>
      <c r="N702" s="64"/>
      <c r="O702" s="64"/>
      <c r="P702" s="64"/>
      <c r="Q702" s="64"/>
      <c r="R702" s="64"/>
      <c r="S702" s="68"/>
      <c r="T702" s="64"/>
      <c r="U702" s="64"/>
      <c r="V702" s="64"/>
      <c r="W702" s="64"/>
      <c r="X702" s="64"/>
      <c r="Y702" s="64"/>
      <c r="Z702" s="64"/>
      <c r="AA702" s="64"/>
      <c r="AB702" s="64"/>
      <c r="AC702" s="68"/>
      <c r="AD702" s="64"/>
    </row>
    <row r="703" ht="15.75" customHeight="1">
      <c r="A703" s="64"/>
      <c r="B703" s="64"/>
      <c r="C703" s="64"/>
      <c r="D703" s="64"/>
      <c r="E703" s="64"/>
      <c r="G703" s="68"/>
      <c r="H703" s="67"/>
      <c r="I703" s="64"/>
      <c r="J703" s="64"/>
      <c r="K703" s="64"/>
      <c r="L703" s="64"/>
      <c r="M703" s="64"/>
      <c r="N703" s="64"/>
      <c r="O703" s="64"/>
      <c r="P703" s="64"/>
      <c r="Q703" s="64"/>
      <c r="R703" s="64"/>
      <c r="S703" s="68"/>
      <c r="T703" s="64"/>
      <c r="U703" s="64"/>
      <c r="V703" s="64"/>
      <c r="W703" s="64"/>
      <c r="X703" s="64"/>
      <c r="Y703" s="64"/>
      <c r="Z703" s="64"/>
      <c r="AA703" s="64"/>
      <c r="AB703" s="64"/>
      <c r="AC703" s="68"/>
      <c r="AD703" s="64"/>
    </row>
    <row r="704" ht="15.75" customHeight="1">
      <c r="A704" s="64"/>
      <c r="B704" s="64"/>
      <c r="C704" s="64"/>
      <c r="D704" s="64"/>
      <c r="E704" s="64"/>
      <c r="G704" s="68"/>
      <c r="H704" s="67"/>
      <c r="I704" s="64"/>
      <c r="J704" s="64"/>
      <c r="K704" s="64"/>
      <c r="L704" s="64"/>
      <c r="M704" s="64"/>
      <c r="N704" s="64"/>
      <c r="O704" s="64"/>
      <c r="P704" s="64"/>
      <c r="Q704" s="64"/>
      <c r="R704" s="64"/>
      <c r="S704" s="68"/>
      <c r="T704" s="64"/>
      <c r="U704" s="64"/>
      <c r="V704" s="64"/>
      <c r="W704" s="64"/>
      <c r="X704" s="64"/>
      <c r="Y704" s="64"/>
      <c r="Z704" s="64"/>
      <c r="AA704" s="64"/>
      <c r="AB704" s="64"/>
      <c r="AC704" s="68"/>
      <c r="AD704" s="64"/>
    </row>
    <row r="705" ht="15.75" customHeight="1">
      <c r="A705" s="64"/>
      <c r="B705" s="64"/>
      <c r="C705" s="64"/>
      <c r="D705" s="64"/>
      <c r="E705" s="64"/>
      <c r="G705" s="68"/>
      <c r="H705" s="67"/>
      <c r="I705" s="64"/>
      <c r="J705" s="64"/>
      <c r="K705" s="64"/>
      <c r="L705" s="64"/>
      <c r="M705" s="64"/>
      <c r="N705" s="64"/>
      <c r="O705" s="64"/>
      <c r="P705" s="64"/>
      <c r="Q705" s="64"/>
      <c r="R705" s="64"/>
      <c r="S705" s="68"/>
      <c r="T705" s="64"/>
      <c r="U705" s="64"/>
      <c r="V705" s="64"/>
      <c r="W705" s="64"/>
      <c r="X705" s="64"/>
      <c r="Y705" s="64"/>
      <c r="Z705" s="64"/>
      <c r="AA705" s="64"/>
      <c r="AB705" s="64"/>
      <c r="AC705" s="68"/>
      <c r="AD705" s="64"/>
    </row>
    <row r="706" ht="15.75" customHeight="1">
      <c r="A706" s="64"/>
      <c r="B706" s="64"/>
      <c r="C706" s="64"/>
      <c r="D706" s="64"/>
      <c r="E706" s="64"/>
      <c r="G706" s="68"/>
      <c r="H706" s="67"/>
      <c r="I706" s="64"/>
      <c r="J706" s="64"/>
      <c r="K706" s="64"/>
      <c r="L706" s="64"/>
      <c r="M706" s="64"/>
      <c r="N706" s="64"/>
      <c r="O706" s="64"/>
      <c r="P706" s="64"/>
      <c r="Q706" s="64"/>
      <c r="R706" s="64"/>
      <c r="S706" s="68"/>
      <c r="T706" s="64"/>
      <c r="U706" s="64"/>
      <c r="V706" s="64"/>
      <c r="W706" s="64"/>
      <c r="X706" s="64"/>
      <c r="Y706" s="64"/>
      <c r="Z706" s="64"/>
      <c r="AA706" s="64"/>
      <c r="AB706" s="64"/>
      <c r="AC706" s="68"/>
      <c r="AD706" s="64"/>
    </row>
    <row r="707" ht="15.75" customHeight="1">
      <c r="A707" s="64"/>
      <c r="B707" s="64"/>
      <c r="C707" s="64"/>
      <c r="D707" s="64"/>
      <c r="E707" s="64"/>
      <c r="G707" s="68"/>
      <c r="H707" s="67"/>
      <c r="I707" s="64"/>
      <c r="J707" s="64"/>
      <c r="K707" s="64"/>
      <c r="L707" s="64"/>
      <c r="M707" s="64"/>
      <c r="N707" s="64"/>
      <c r="O707" s="64"/>
      <c r="P707" s="64"/>
      <c r="Q707" s="64"/>
      <c r="R707" s="64"/>
      <c r="S707" s="68"/>
      <c r="T707" s="64"/>
      <c r="U707" s="64"/>
      <c r="V707" s="64"/>
      <c r="W707" s="64"/>
      <c r="X707" s="64"/>
      <c r="Y707" s="64"/>
      <c r="Z707" s="64"/>
      <c r="AA707" s="64"/>
      <c r="AB707" s="64"/>
      <c r="AC707" s="68"/>
      <c r="AD707" s="64"/>
    </row>
    <row r="708" ht="15.75" customHeight="1">
      <c r="A708" s="64"/>
      <c r="B708" s="64"/>
      <c r="C708" s="64"/>
      <c r="D708" s="64"/>
      <c r="E708" s="64"/>
      <c r="G708" s="68"/>
      <c r="H708" s="67"/>
      <c r="I708" s="64"/>
      <c r="J708" s="64"/>
      <c r="K708" s="64"/>
      <c r="L708" s="64"/>
      <c r="M708" s="64"/>
      <c r="N708" s="64"/>
      <c r="O708" s="64"/>
      <c r="P708" s="64"/>
      <c r="Q708" s="64"/>
      <c r="R708" s="64"/>
      <c r="S708" s="68"/>
      <c r="T708" s="64"/>
      <c r="U708" s="64"/>
      <c r="V708" s="64"/>
      <c r="W708" s="64"/>
      <c r="X708" s="64"/>
      <c r="Y708" s="64"/>
      <c r="Z708" s="64"/>
      <c r="AA708" s="64"/>
      <c r="AB708" s="64"/>
      <c r="AC708" s="68"/>
      <c r="AD708" s="64"/>
    </row>
    <row r="709" ht="15.75" customHeight="1">
      <c r="A709" s="64"/>
      <c r="B709" s="64"/>
      <c r="C709" s="64"/>
      <c r="D709" s="64"/>
      <c r="E709" s="64"/>
      <c r="G709" s="68"/>
      <c r="H709" s="67"/>
      <c r="I709" s="64"/>
      <c r="J709" s="64"/>
      <c r="K709" s="64"/>
      <c r="L709" s="64"/>
      <c r="M709" s="64"/>
      <c r="N709" s="64"/>
      <c r="O709" s="64"/>
      <c r="P709" s="64"/>
      <c r="Q709" s="64"/>
      <c r="R709" s="64"/>
      <c r="S709" s="68"/>
      <c r="T709" s="64"/>
      <c r="U709" s="64"/>
      <c r="V709" s="64"/>
      <c r="W709" s="64"/>
      <c r="X709" s="64"/>
      <c r="Y709" s="64"/>
      <c r="Z709" s="64"/>
      <c r="AA709" s="64"/>
      <c r="AB709" s="64"/>
      <c r="AC709" s="68"/>
      <c r="AD709" s="64"/>
    </row>
    <row r="710" ht="15.75" customHeight="1">
      <c r="A710" s="64"/>
      <c r="B710" s="64"/>
      <c r="C710" s="64"/>
      <c r="D710" s="64"/>
      <c r="E710" s="64"/>
      <c r="G710" s="68"/>
      <c r="H710" s="67"/>
      <c r="I710" s="64"/>
      <c r="J710" s="64"/>
      <c r="K710" s="64"/>
      <c r="L710" s="64"/>
      <c r="M710" s="64"/>
      <c r="N710" s="64"/>
      <c r="O710" s="64"/>
      <c r="P710" s="64"/>
      <c r="Q710" s="64"/>
      <c r="R710" s="64"/>
      <c r="S710" s="68"/>
      <c r="T710" s="64"/>
      <c r="U710" s="64"/>
      <c r="V710" s="64"/>
      <c r="W710" s="64"/>
      <c r="X710" s="64"/>
      <c r="Y710" s="64"/>
      <c r="Z710" s="64"/>
      <c r="AA710" s="64"/>
      <c r="AB710" s="64"/>
      <c r="AC710" s="68"/>
      <c r="AD710" s="64"/>
    </row>
    <row r="711" ht="15.75" customHeight="1">
      <c r="A711" s="64"/>
      <c r="B711" s="64"/>
      <c r="C711" s="64"/>
      <c r="D711" s="64"/>
      <c r="E711" s="64"/>
      <c r="G711" s="68"/>
      <c r="H711" s="67"/>
      <c r="I711" s="64"/>
      <c r="J711" s="64"/>
      <c r="K711" s="64"/>
      <c r="L711" s="64"/>
      <c r="M711" s="64"/>
      <c r="N711" s="64"/>
      <c r="O711" s="64"/>
      <c r="P711" s="64"/>
      <c r="Q711" s="64"/>
      <c r="R711" s="64"/>
      <c r="S711" s="68"/>
      <c r="T711" s="64"/>
      <c r="U711" s="64"/>
      <c r="V711" s="64"/>
      <c r="W711" s="64"/>
      <c r="X711" s="64"/>
      <c r="Y711" s="64"/>
      <c r="Z711" s="64"/>
      <c r="AA711" s="64"/>
      <c r="AB711" s="64"/>
      <c r="AC711" s="68"/>
      <c r="AD711" s="64"/>
    </row>
    <row r="712" ht="15.75" customHeight="1">
      <c r="A712" s="64"/>
      <c r="B712" s="64"/>
      <c r="C712" s="64"/>
      <c r="D712" s="64"/>
      <c r="E712" s="64"/>
      <c r="G712" s="68"/>
      <c r="H712" s="67"/>
      <c r="I712" s="64"/>
      <c r="J712" s="64"/>
      <c r="K712" s="64"/>
      <c r="L712" s="64"/>
      <c r="M712" s="64"/>
      <c r="N712" s="64"/>
      <c r="O712" s="64"/>
      <c r="P712" s="64"/>
      <c r="Q712" s="64"/>
      <c r="R712" s="64"/>
      <c r="S712" s="68"/>
      <c r="T712" s="64"/>
      <c r="U712" s="64"/>
      <c r="V712" s="64"/>
      <c r="W712" s="64"/>
      <c r="X712" s="64"/>
      <c r="Y712" s="64"/>
      <c r="Z712" s="64"/>
      <c r="AA712" s="64"/>
      <c r="AB712" s="64"/>
      <c r="AC712" s="68"/>
      <c r="AD712" s="64"/>
    </row>
    <row r="713" ht="15.75" customHeight="1">
      <c r="A713" s="64"/>
      <c r="B713" s="64"/>
      <c r="C713" s="64"/>
      <c r="D713" s="64"/>
      <c r="E713" s="64"/>
      <c r="G713" s="68"/>
      <c r="H713" s="67"/>
      <c r="I713" s="64"/>
      <c r="J713" s="64"/>
      <c r="K713" s="64"/>
      <c r="L713" s="64"/>
      <c r="M713" s="64"/>
      <c r="N713" s="64"/>
      <c r="O713" s="64"/>
      <c r="P713" s="64"/>
      <c r="Q713" s="64"/>
      <c r="R713" s="64"/>
      <c r="S713" s="68"/>
      <c r="T713" s="64"/>
      <c r="U713" s="64"/>
      <c r="V713" s="64"/>
      <c r="W713" s="64"/>
      <c r="X713" s="64"/>
      <c r="Y713" s="64"/>
      <c r="Z713" s="64"/>
      <c r="AA713" s="64"/>
      <c r="AB713" s="64"/>
      <c r="AC713" s="68"/>
      <c r="AD713" s="64"/>
    </row>
    <row r="714" ht="15.75" customHeight="1">
      <c r="A714" s="64"/>
      <c r="B714" s="64"/>
      <c r="C714" s="64"/>
      <c r="D714" s="64"/>
      <c r="E714" s="64"/>
      <c r="G714" s="68"/>
      <c r="H714" s="67"/>
      <c r="I714" s="64"/>
      <c r="J714" s="64"/>
      <c r="K714" s="64"/>
      <c r="L714" s="64"/>
      <c r="M714" s="64"/>
      <c r="N714" s="64"/>
      <c r="O714" s="64"/>
      <c r="P714" s="64"/>
      <c r="Q714" s="64"/>
      <c r="R714" s="64"/>
      <c r="S714" s="68"/>
      <c r="T714" s="64"/>
      <c r="U714" s="64"/>
      <c r="V714" s="64"/>
      <c r="W714" s="64"/>
      <c r="X714" s="64"/>
      <c r="Y714" s="64"/>
      <c r="Z714" s="64"/>
      <c r="AA714" s="64"/>
      <c r="AB714" s="64"/>
      <c r="AC714" s="68"/>
      <c r="AD714" s="64"/>
    </row>
    <row r="715" ht="15.75" customHeight="1">
      <c r="A715" s="64"/>
      <c r="B715" s="64"/>
      <c r="C715" s="64"/>
      <c r="D715" s="64"/>
      <c r="E715" s="64"/>
      <c r="G715" s="68"/>
      <c r="H715" s="67"/>
      <c r="I715" s="64"/>
      <c r="J715" s="64"/>
      <c r="K715" s="64"/>
      <c r="L715" s="64"/>
      <c r="M715" s="64"/>
      <c r="N715" s="64"/>
      <c r="O715" s="64"/>
      <c r="P715" s="64"/>
      <c r="Q715" s="64"/>
      <c r="R715" s="64"/>
      <c r="S715" s="68"/>
      <c r="T715" s="64"/>
      <c r="U715" s="64"/>
      <c r="V715" s="64"/>
      <c r="W715" s="64"/>
      <c r="X715" s="64"/>
      <c r="Y715" s="64"/>
      <c r="Z715" s="64"/>
      <c r="AA715" s="64"/>
      <c r="AB715" s="64"/>
      <c r="AC715" s="68"/>
      <c r="AD715" s="64"/>
    </row>
    <row r="716" ht="15.75" customHeight="1">
      <c r="A716" s="64"/>
      <c r="B716" s="64"/>
      <c r="C716" s="64"/>
      <c r="D716" s="64"/>
      <c r="E716" s="64"/>
      <c r="G716" s="68"/>
      <c r="H716" s="67"/>
      <c r="I716" s="64"/>
      <c r="J716" s="64"/>
      <c r="K716" s="64"/>
      <c r="L716" s="64"/>
      <c r="M716" s="64"/>
      <c r="N716" s="64"/>
      <c r="O716" s="64"/>
      <c r="P716" s="64"/>
      <c r="Q716" s="64"/>
      <c r="R716" s="64"/>
      <c r="S716" s="68"/>
      <c r="T716" s="64"/>
      <c r="U716" s="64"/>
      <c r="V716" s="64"/>
      <c r="W716" s="64"/>
      <c r="X716" s="64"/>
      <c r="Y716" s="64"/>
      <c r="Z716" s="64"/>
      <c r="AA716" s="64"/>
      <c r="AB716" s="64"/>
      <c r="AC716" s="68"/>
      <c r="AD716" s="64"/>
    </row>
    <row r="717" ht="15.75" customHeight="1">
      <c r="A717" s="64"/>
      <c r="B717" s="64"/>
      <c r="C717" s="64"/>
      <c r="D717" s="64"/>
      <c r="E717" s="64"/>
      <c r="G717" s="68"/>
      <c r="H717" s="67"/>
      <c r="I717" s="64"/>
      <c r="J717" s="64"/>
      <c r="K717" s="64"/>
      <c r="L717" s="64"/>
      <c r="M717" s="64"/>
      <c r="N717" s="64"/>
      <c r="O717" s="64"/>
      <c r="P717" s="64"/>
      <c r="Q717" s="64"/>
      <c r="R717" s="64"/>
      <c r="S717" s="68"/>
      <c r="T717" s="64"/>
      <c r="U717" s="64"/>
      <c r="V717" s="64"/>
      <c r="W717" s="64"/>
      <c r="X717" s="64"/>
      <c r="Y717" s="64"/>
      <c r="Z717" s="64"/>
      <c r="AA717" s="64"/>
      <c r="AB717" s="64"/>
      <c r="AC717" s="68"/>
      <c r="AD717" s="64"/>
    </row>
    <row r="718" ht="15.75" customHeight="1">
      <c r="A718" s="64"/>
      <c r="B718" s="64"/>
      <c r="C718" s="64"/>
      <c r="D718" s="64"/>
      <c r="E718" s="64"/>
      <c r="G718" s="68"/>
      <c r="H718" s="67"/>
      <c r="I718" s="64"/>
      <c r="J718" s="64"/>
      <c r="K718" s="64"/>
      <c r="L718" s="64"/>
      <c r="M718" s="64"/>
      <c r="N718" s="64"/>
      <c r="O718" s="64"/>
      <c r="P718" s="64"/>
      <c r="Q718" s="64"/>
      <c r="R718" s="64"/>
      <c r="S718" s="68"/>
      <c r="T718" s="64"/>
      <c r="U718" s="64"/>
      <c r="V718" s="64"/>
      <c r="W718" s="64"/>
      <c r="X718" s="64"/>
      <c r="Y718" s="64"/>
      <c r="Z718" s="64"/>
      <c r="AA718" s="64"/>
      <c r="AB718" s="64"/>
      <c r="AC718" s="68"/>
      <c r="AD718" s="64"/>
    </row>
    <row r="719" ht="15.75" customHeight="1">
      <c r="A719" s="64"/>
      <c r="B719" s="64"/>
      <c r="C719" s="64"/>
      <c r="D719" s="64"/>
      <c r="E719" s="64"/>
      <c r="G719" s="68"/>
      <c r="H719" s="67"/>
      <c r="I719" s="64"/>
      <c r="J719" s="64"/>
      <c r="K719" s="64"/>
      <c r="L719" s="64"/>
      <c r="M719" s="64"/>
      <c r="N719" s="64"/>
      <c r="O719" s="64"/>
      <c r="P719" s="64"/>
      <c r="Q719" s="64"/>
      <c r="R719" s="64"/>
      <c r="S719" s="68"/>
      <c r="T719" s="64"/>
      <c r="U719" s="64"/>
      <c r="V719" s="64"/>
      <c r="W719" s="64"/>
      <c r="X719" s="64"/>
      <c r="Y719" s="64"/>
      <c r="Z719" s="64"/>
      <c r="AA719" s="64"/>
      <c r="AB719" s="64"/>
      <c r="AC719" s="68"/>
      <c r="AD719" s="64"/>
    </row>
    <row r="720" ht="15.75" customHeight="1">
      <c r="A720" s="64"/>
      <c r="B720" s="64"/>
      <c r="C720" s="64"/>
      <c r="D720" s="64"/>
      <c r="E720" s="64"/>
      <c r="G720" s="68"/>
      <c r="H720" s="67"/>
      <c r="I720" s="64"/>
      <c r="J720" s="64"/>
      <c r="K720" s="64"/>
      <c r="L720" s="64"/>
      <c r="M720" s="64"/>
      <c r="N720" s="64"/>
      <c r="O720" s="64"/>
      <c r="P720" s="64"/>
      <c r="Q720" s="64"/>
      <c r="R720" s="64"/>
      <c r="S720" s="68"/>
      <c r="T720" s="64"/>
      <c r="U720" s="64"/>
      <c r="V720" s="64"/>
      <c r="W720" s="64"/>
      <c r="X720" s="64"/>
      <c r="Y720" s="64"/>
      <c r="Z720" s="64"/>
      <c r="AA720" s="64"/>
      <c r="AB720" s="64"/>
      <c r="AC720" s="68"/>
      <c r="AD720" s="64"/>
    </row>
    <row r="721" ht="15.75" customHeight="1">
      <c r="A721" s="64"/>
      <c r="B721" s="64"/>
      <c r="C721" s="64"/>
      <c r="D721" s="64"/>
      <c r="E721" s="64"/>
      <c r="G721" s="68"/>
      <c r="H721" s="67"/>
      <c r="I721" s="64"/>
      <c r="J721" s="64"/>
      <c r="K721" s="64"/>
      <c r="L721" s="64"/>
      <c r="M721" s="64"/>
      <c r="N721" s="64"/>
      <c r="O721" s="64"/>
      <c r="P721" s="64"/>
      <c r="Q721" s="64"/>
      <c r="R721" s="64"/>
      <c r="S721" s="68"/>
      <c r="T721" s="64"/>
      <c r="U721" s="64"/>
      <c r="V721" s="64"/>
      <c r="W721" s="64"/>
      <c r="X721" s="64"/>
      <c r="Y721" s="64"/>
      <c r="Z721" s="64"/>
      <c r="AA721" s="64"/>
      <c r="AB721" s="64"/>
      <c r="AC721" s="68"/>
      <c r="AD721" s="64"/>
    </row>
    <row r="722" ht="15.75" customHeight="1">
      <c r="A722" s="64"/>
      <c r="B722" s="64"/>
      <c r="C722" s="64"/>
      <c r="D722" s="64"/>
      <c r="E722" s="64"/>
      <c r="G722" s="68"/>
      <c r="H722" s="67"/>
      <c r="I722" s="64"/>
      <c r="J722" s="64"/>
      <c r="K722" s="64"/>
      <c r="L722" s="64"/>
      <c r="M722" s="64"/>
      <c r="N722" s="64"/>
      <c r="O722" s="64"/>
      <c r="P722" s="64"/>
      <c r="Q722" s="64"/>
      <c r="R722" s="64"/>
      <c r="S722" s="68"/>
      <c r="T722" s="64"/>
      <c r="U722" s="64"/>
      <c r="V722" s="64"/>
      <c r="W722" s="64"/>
      <c r="X722" s="64"/>
      <c r="Y722" s="64"/>
      <c r="Z722" s="64"/>
      <c r="AA722" s="64"/>
      <c r="AB722" s="64"/>
      <c r="AC722" s="68"/>
      <c r="AD722" s="64"/>
    </row>
    <row r="723" ht="15.75" customHeight="1">
      <c r="A723" s="64"/>
      <c r="B723" s="64"/>
      <c r="C723" s="64"/>
      <c r="D723" s="64"/>
      <c r="E723" s="64"/>
      <c r="G723" s="68"/>
      <c r="H723" s="67"/>
      <c r="I723" s="64"/>
      <c r="J723" s="64"/>
      <c r="K723" s="64"/>
      <c r="L723" s="64"/>
      <c r="M723" s="64"/>
      <c r="N723" s="64"/>
      <c r="O723" s="64"/>
      <c r="P723" s="64"/>
      <c r="Q723" s="64"/>
      <c r="R723" s="64"/>
      <c r="S723" s="68"/>
      <c r="T723" s="64"/>
      <c r="U723" s="64"/>
      <c r="V723" s="64"/>
      <c r="W723" s="64"/>
      <c r="X723" s="64"/>
      <c r="Y723" s="64"/>
      <c r="Z723" s="64"/>
      <c r="AA723" s="64"/>
      <c r="AB723" s="64"/>
      <c r="AC723" s="68"/>
      <c r="AD723" s="64"/>
    </row>
    <row r="724" ht="15.75" customHeight="1">
      <c r="A724" s="64"/>
      <c r="B724" s="64"/>
      <c r="C724" s="64"/>
      <c r="D724" s="64"/>
      <c r="E724" s="64"/>
      <c r="G724" s="68"/>
      <c r="H724" s="67"/>
      <c r="I724" s="64"/>
      <c r="J724" s="64"/>
      <c r="K724" s="64"/>
      <c r="L724" s="64"/>
      <c r="M724" s="64"/>
      <c r="N724" s="64"/>
      <c r="O724" s="64"/>
      <c r="P724" s="64"/>
      <c r="Q724" s="64"/>
      <c r="R724" s="64"/>
      <c r="S724" s="68"/>
      <c r="T724" s="64"/>
      <c r="U724" s="64"/>
      <c r="V724" s="64"/>
      <c r="W724" s="64"/>
      <c r="X724" s="64"/>
      <c r="Y724" s="64"/>
      <c r="Z724" s="64"/>
      <c r="AA724" s="64"/>
      <c r="AB724" s="64"/>
      <c r="AC724" s="68"/>
      <c r="AD724" s="64"/>
    </row>
    <row r="725" ht="15.75" customHeight="1">
      <c r="A725" s="64"/>
      <c r="B725" s="64"/>
      <c r="C725" s="64"/>
      <c r="D725" s="64"/>
      <c r="E725" s="64"/>
      <c r="G725" s="68"/>
      <c r="H725" s="67"/>
      <c r="I725" s="64"/>
      <c r="J725" s="64"/>
      <c r="K725" s="64"/>
      <c r="L725" s="64"/>
      <c r="M725" s="64"/>
      <c r="N725" s="64"/>
      <c r="O725" s="64"/>
      <c r="P725" s="64"/>
      <c r="Q725" s="64"/>
      <c r="R725" s="64"/>
      <c r="S725" s="68"/>
      <c r="T725" s="64"/>
      <c r="U725" s="64"/>
      <c r="V725" s="64"/>
      <c r="W725" s="64"/>
      <c r="X725" s="64"/>
      <c r="Y725" s="64"/>
      <c r="Z725" s="64"/>
      <c r="AA725" s="64"/>
      <c r="AB725" s="64"/>
      <c r="AC725" s="68"/>
      <c r="AD725" s="64"/>
    </row>
    <row r="726" ht="15.75" customHeight="1">
      <c r="A726" s="64"/>
      <c r="B726" s="64"/>
      <c r="C726" s="64"/>
      <c r="D726" s="64"/>
      <c r="E726" s="64"/>
      <c r="G726" s="68"/>
      <c r="H726" s="67"/>
      <c r="I726" s="64"/>
      <c r="J726" s="64"/>
      <c r="K726" s="64"/>
      <c r="L726" s="64"/>
      <c r="M726" s="64"/>
      <c r="N726" s="64"/>
      <c r="O726" s="64"/>
      <c r="P726" s="64"/>
      <c r="Q726" s="64"/>
      <c r="R726" s="64"/>
      <c r="S726" s="68"/>
      <c r="T726" s="64"/>
      <c r="U726" s="64"/>
      <c r="V726" s="64"/>
      <c r="W726" s="64"/>
      <c r="X726" s="64"/>
      <c r="Y726" s="64"/>
      <c r="Z726" s="64"/>
      <c r="AA726" s="64"/>
      <c r="AB726" s="64"/>
      <c r="AC726" s="68"/>
      <c r="AD726" s="64"/>
    </row>
    <row r="727" ht="15.75" customHeight="1">
      <c r="A727" s="64"/>
      <c r="B727" s="64"/>
      <c r="C727" s="64"/>
      <c r="D727" s="64"/>
      <c r="E727" s="64"/>
      <c r="G727" s="68"/>
      <c r="H727" s="67"/>
      <c r="I727" s="64"/>
      <c r="J727" s="64"/>
      <c r="K727" s="64"/>
      <c r="L727" s="64"/>
      <c r="M727" s="64"/>
      <c r="N727" s="64"/>
      <c r="O727" s="64"/>
      <c r="P727" s="64"/>
      <c r="Q727" s="64"/>
      <c r="R727" s="64"/>
      <c r="S727" s="68"/>
      <c r="T727" s="64"/>
      <c r="U727" s="64"/>
      <c r="V727" s="64"/>
      <c r="W727" s="64"/>
      <c r="X727" s="64"/>
      <c r="Y727" s="64"/>
      <c r="Z727" s="64"/>
      <c r="AA727" s="64"/>
      <c r="AB727" s="64"/>
      <c r="AC727" s="68"/>
      <c r="AD727" s="64"/>
    </row>
    <row r="728" ht="15.75" customHeight="1">
      <c r="A728" s="64"/>
      <c r="B728" s="64"/>
      <c r="C728" s="64"/>
      <c r="D728" s="64"/>
      <c r="E728" s="64"/>
      <c r="G728" s="68"/>
      <c r="H728" s="67"/>
      <c r="I728" s="64"/>
      <c r="J728" s="64"/>
      <c r="K728" s="64"/>
      <c r="L728" s="64"/>
      <c r="M728" s="64"/>
      <c r="N728" s="64"/>
      <c r="O728" s="64"/>
      <c r="P728" s="64"/>
      <c r="Q728" s="64"/>
      <c r="R728" s="64"/>
      <c r="S728" s="68"/>
      <c r="T728" s="64"/>
      <c r="U728" s="64"/>
      <c r="V728" s="64"/>
      <c r="W728" s="64"/>
      <c r="X728" s="64"/>
      <c r="Y728" s="64"/>
      <c r="Z728" s="64"/>
      <c r="AA728" s="64"/>
      <c r="AB728" s="64"/>
      <c r="AC728" s="68"/>
      <c r="AD728" s="64"/>
    </row>
    <row r="729" ht="15.75" customHeight="1">
      <c r="A729" s="64"/>
      <c r="B729" s="64"/>
      <c r="C729" s="64"/>
      <c r="D729" s="64"/>
      <c r="E729" s="64"/>
      <c r="G729" s="68"/>
      <c r="H729" s="67"/>
      <c r="I729" s="64"/>
      <c r="J729" s="64"/>
      <c r="K729" s="64"/>
      <c r="L729" s="64"/>
      <c r="M729" s="64"/>
      <c r="N729" s="64"/>
      <c r="O729" s="64"/>
      <c r="P729" s="64"/>
      <c r="Q729" s="64"/>
      <c r="R729" s="64"/>
      <c r="S729" s="68"/>
      <c r="T729" s="64"/>
      <c r="U729" s="64"/>
      <c r="V729" s="64"/>
      <c r="W729" s="64"/>
      <c r="X729" s="64"/>
      <c r="Y729" s="64"/>
      <c r="Z729" s="64"/>
      <c r="AA729" s="64"/>
      <c r="AB729" s="64"/>
      <c r="AC729" s="68"/>
      <c r="AD729" s="64"/>
    </row>
    <row r="730" ht="15.75" customHeight="1">
      <c r="A730" s="64"/>
      <c r="B730" s="64"/>
      <c r="C730" s="64"/>
      <c r="D730" s="64"/>
      <c r="E730" s="64"/>
      <c r="G730" s="68"/>
      <c r="H730" s="67"/>
      <c r="I730" s="64"/>
      <c r="J730" s="64"/>
      <c r="K730" s="64"/>
      <c r="L730" s="64"/>
      <c r="M730" s="64"/>
      <c r="N730" s="64"/>
      <c r="O730" s="64"/>
      <c r="P730" s="64"/>
      <c r="Q730" s="64"/>
      <c r="R730" s="64"/>
      <c r="S730" s="68"/>
      <c r="T730" s="64"/>
      <c r="U730" s="64"/>
      <c r="V730" s="64"/>
      <c r="W730" s="64"/>
      <c r="X730" s="64"/>
      <c r="Y730" s="64"/>
      <c r="Z730" s="64"/>
      <c r="AA730" s="64"/>
      <c r="AB730" s="64"/>
      <c r="AC730" s="68"/>
      <c r="AD730" s="64"/>
    </row>
    <row r="731" ht="15.75" customHeight="1">
      <c r="A731" s="64"/>
      <c r="B731" s="64"/>
      <c r="C731" s="64"/>
      <c r="D731" s="64"/>
      <c r="E731" s="64"/>
      <c r="G731" s="68"/>
      <c r="H731" s="67"/>
      <c r="I731" s="64"/>
      <c r="J731" s="64"/>
      <c r="K731" s="64"/>
      <c r="L731" s="64"/>
      <c r="M731" s="64"/>
      <c r="N731" s="64"/>
      <c r="O731" s="64"/>
      <c r="P731" s="64"/>
      <c r="Q731" s="64"/>
      <c r="R731" s="64"/>
      <c r="S731" s="68"/>
      <c r="T731" s="64"/>
      <c r="U731" s="64"/>
      <c r="V731" s="64"/>
      <c r="W731" s="64"/>
      <c r="X731" s="64"/>
      <c r="Y731" s="64"/>
      <c r="Z731" s="64"/>
      <c r="AA731" s="64"/>
      <c r="AB731" s="64"/>
      <c r="AC731" s="68"/>
      <c r="AD731" s="64"/>
    </row>
    <row r="732" ht="15.75" customHeight="1">
      <c r="A732" s="64"/>
      <c r="B732" s="64"/>
      <c r="C732" s="64"/>
      <c r="D732" s="64"/>
      <c r="E732" s="64"/>
      <c r="G732" s="68"/>
      <c r="H732" s="67"/>
      <c r="I732" s="64"/>
      <c r="J732" s="64"/>
      <c r="K732" s="64"/>
      <c r="L732" s="64"/>
      <c r="M732" s="64"/>
      <c r="N732" s="64"/>
      <c r="O732" s="64"/>
      <c r="P732" s="64"/>
      <c r="Q732" s="64"/>
      <c r="R732" s="64"/>
      <c r="S732" s="68"/>
      <c r="T732" s="64"/>
      <c r="U732" s="64"/>
      <c r="V732" s="64"/>
      <c r="W732" s="64"/>
      <c r="X732" s="64"/>
      <c r="Y732" s="64"/>
      <c r="Z732" s="64"/>
      <c r="AA732" s="64"/>
      <c r="AB732" s="64"/>
      <c r="AC732" s="68"/>
      <c r="AD732" s="64"/>
    </row>
    <row r="733" ht="15.75" customHeight="1">
      <c r="A733" s="64"/>
      <c r="B733" s="64"/>
      <c r="C733" s="64"/>
      <c r="D733" s="64"/>
      <c r="E733" s="64"/>
      <c r="G733" s="68"/>
      <c r="H733" s="67"/>
      <c r="I733" s="64"/>
      <c r="J733" s="64"/>
      <c r="K733" s="64"/>
      <c r="L733" s="64"/>
      <c r="M733" s="64"/>
      <c r="N733" s="64"/>
      <c r="O733" s="64"/>
      <c r="P733" s="64"/>
      <c r="Q733" s="64"/>
      <c r="R733" s="64"/>
      <c r="S733" s="68"/>
      <c r="T733" s="64"/>
      <c r="U733" s="64"/>
      <c r="V733" s="64"/>
      <c r="W733" s="64"/>
      <c r="X733" s="64"/>
      <c r="Y733" s="64"/>
      <c r="Z733" s="64"/>
      <c r="AA733" s="64"/>
      <c r="AB733" s="64"/>
      <c r="AC733" s="68"/>
      <c r="AD733" s="64"/>
    </row>
    <row r="734" ht="15.75" customHeight="1">
      <c r="A734" s="64"/>
      <c r="B734" s="64"/>
      <c r="C734" s="64"/>
      <c r="D734" s="64"/>
      <c r="E734" s="64"/>
      <c r="G734" s="68"/>
      <c r="H734" s="67"/>
      <c r="I734" s="64"/>
      <c r="J734" s="64"/>
      <c r="K734" s="64"/>
      <c r="L734" s="64"/>
      <c r="M734" s="64"/>
      <c r="N734" s="64"/>
      <c r="O734" s="64"/>
      <c r="P734" s="64"/>
      <c r="Q734" s="64"/>
      <c r="R734" s="64"/>
      <c r="S734" s="68"/>
      <c r="T734" s="64"/>
      <c r="U734" s="64"/>
      <c r="V734" s="64"/>
      <c r="W734" s="64"/>
      <c r="X734" s="64"/>
      <c r="Y734" s="64"/>
      <c r="Z734" s="64"/>
      <c r="AA734" s="64"/>
      <c r="AB734" s="64"/>
      <c r="AC734" s="68"/>
      <c r="AD734" s="64"/>
    </row>
    <row r="735" ht="15.75" customHeight="1">
      <c r="A735" s="64"/>
      <c r="B735" s="64"/>
      <c r="C735" s="64"/>
      <c r="D735" s="64"/>
      <c r="E735" s="64"/>
      <c r="G735" s="68"/>
      <c r="H735" s="67"/>
      <c r="I735" s="64"/>
      <c r="J735" s="64"/>
      <c r="K735" s="64"/>
      <c r="L735" s="64"/>
      <c r="M735" s="64"/>
      <c r="N735" s="64"/>
      <c r="O735" s="64"/>
      <c r="P735" s="64"/>
      <c r="Q735" s="64"/>
      <c r="R735" s="64"/>
      <c r="S735" s="68"/>
      <c r="T735" s="64"/>
      <c r="U735" s="64"/>
      <c r="V735" s="64"/>
      <c r="W735" s="64"/>
      <c r="X735" s="64"/>
      <c r="Y735" s="64"/>
      <c r="Z735" s="64"/>
      <c r="AA735" s="64"/>
      <c r="AB735" s="64"/>
      <c r="AC735" s="68"/>
      <c r="AD735" s="64"/>
    </row>
    <row r="736" ht="15.75" customHeight="1">
      <c r="A736" s="64"/>
      <c r="B736" s="64"/>
      <c r="C736" s="64"/>
      <c r="D736" s="64"/>
      <c r="E736" s="64"/>
      <c r="G736" s="68"/>
      <c r="H736" s="67"/>
      <c r="I736" s="64"/>
      <c r="J736" s="64"/>
      <c r="K736" s="64"/>
      <c r="L736" s="64"/>
      <c r="M736" s="64"/>
      <c r="N736" s="64"/>
      <c r="O736" s="64"/>
      <c r="P736" s="64"/>
      <c r="Q736" s="64"/>
      <c r="R736" s="64"/>
      <c r="S736" s="68"/>
      <c r="T736" s="64"/>
      <c r="U736" s="64"/>
      <c r="V736" s="64"/>
      <c r="W736" s="64"/>
      <c r="X736" s="64"/>
      <c r="Y736" s="64"/>
      <c r="Z736" s="64"/>
      <c r="AA736" s="64"/>
      <c r="AB736" s="64"/>
      <c r="AC736" s="68"/>
      <c r="AD736" s="64"/>
    </row>
    <row r="737" ht="15.75" customHeight="1">
      <c r="A737" s="64"/>
      <c r="B737" s="64"/>
      <c r="C737" s="64"/>
      <c r="D737" s="64"/>
      <c r="E737" s="64"/>
      <c r="G737" s="68"/>
      <c r="H737" s="67"/>
      <c r="I737" s="64"/>
      <c r="J737" s="64"/>
      <c r="K737" s="64"/>
      <c r="L737" s="64"/>
      <c r="M737" s="64"/>
      <c r="N737" s="64"/>
      <c r="O737" s="64"/>
      <c r="P737" s="64"/>
      <c r="Q737" s="64"/>
      <c r="R737" s="64"/>
      <c r="S737" s="68"/>
      <c r="T737" s="64"/>
      <c r="U737" s="64"/>
      <c r="V737" s="64"/>
      <c r="W737" s="64"/>
      <c r="X737" s="64"/>
      <c r="Y737" s="64"/>
      <c r="Z737" s="64"/>
      <c r="AA737" s="64"/>
      <c r="AB737" s="64"/>
      <c r="AC737" s="68"/>
      <c r="AD737" s="64"/>
    </row>
    <row r="738" ht="15.75" customHeight="1">
      <c r="A738" s="64"/>
      <c r="B738" s="64"/>
      <c r="C738" s="64"/>
      <c r="D738" s="64"/>
      <c r="E738" s="64"/>
      <c r="G738" s="68"/>
      <c r="H738" s="67"/>
      <c r="I738" s="64"/>
      <c r="J738" s="64"/>
      <c r="K738" s="64"/>
      <c r="L738" s="64"/>
      <c r="M738" s="64"/>
      <c r="N738" s="64"/>
      <c r="O738" s="64"/>
      <c r="P738" s="64"/>
      <c r="Q738" s="64"/>
      <c r="R738" s="64"/>
      <c r="S738" s="68"/>
      <c r="T738" s="64"/>
      <c r="U738" s="64"/>
      <c r="V738" s="64"/>
      <c r="W738" s="64"/>
      <c r="X738" s="64"/>
      <c r="Y738" s="64"/>
      <c r="Z738" s="64"/>
      <c r="AA738" s="64"/>
      <c r="AB738" s="64"/>
      <c r="AC738" s="68"/>
      <c r="AD738" s="64"/>
    </row>
    <row r="739" ht="15.75" customHeight="1">
      <c r="A739" s="64"/>
      <c r="B739" s="64"/>
      <c r="C739" s="64"/>
      <c r="D739" s="64"/>
      <c r="E739" s="64"/>
      <c r="G739" s="68"/>
      <c r="H739" s="67"/>
      <c r="I739" s="64"/>
      <c r="J739" s="64"/>
      <c r="K739" s="64"/>
      <c r="L739" s="64"/>
      <c r="M739" s="64"/>
      <c r="N739" s="64"/>
      <c r="O739" s="64"/>
      <c r="P739" s="64"/>
      <c r="Q739" s="64"/>
      <c r="R739" s="64"/>
      <c r="S739" s="68"/>
      <c r="T739" s="64"/>
      <c r="U739" s="64"/>
      <c r="V739" s="64"/>
      <c r="W739" s="64"/>
      <c r="X739" s="64"/>
      <c r="Y739" s="64"/>
      <c r="Z739" s="64"/>
      <c r="AA739" s="64"/>
      <c r="AB739" s="64"/>
      <c r="AC739" s="68"/>
      <c r="AD739" s="64"/>
    </row>
    <row r="740" ht="15.75" customHeight="1">
      <c r="A740" s="64"/>
      <c r="B740" s="64"/>
      <c r="C740" s="64"/>
      <c r="D740" s="64"/>
      <c r="E740" s="64"/>
      <c r="G740" s="68"/>
      <c r="H740" s="67"/>
      <c r="I740" s="64"/>
      <c r="J740" s="64"/>
      <c r="K740" s="64"/>
      <c r="L740" s="64"/>
      <c r="M740" s="64"/>
      <c r="N740" s="64"/>
      <c r="O740" s="64"/>
      <c r="P740" s="64"/>
      <c r="Q740" s="64"/>
      <c r="R740" s="64"/>
      <c r="S740" s="68"/>
      <c r="T740" s="64"/>
      <c r="U740" s="64"/>
      <c r="V740" s="64"/>
      <c r="W740" s="64"/>
      <c r="X740" s="64"/>
      <c r="Y740" s="64"/>
      <c r="Z740" s="64"/>
      <c r="AA740" s="64"/>
      <c r="AB740" s="64"/>
      <c r="AC740" s="68"/>
      <c r="AD740" s="64"/>
    </row>
    <row r="741" ht="15.75" customHeight="1">
      <c r="A741" s="64"/>
      <c r="B741" s="64"/>
      <c r="C741" s="64"/>
      <c r="D741" s="64"/>
      <c r="E741" s="64"/>
      <c r="G741" s="68"/>
      <c r="H741" s="67"/>
      <c r="I741" s="64"/>
      <c r="J741" s="64"/>
      <c r="K741" s="64"/>
      <c r="L741" s="64"/>
      <c r="M741" s="64"/>
      <c r="N741" s="64"/>
      <c r="O741" s="64"/>
      <c r="P741" s="64"/>
      <c r="Q741" s="64"/>
      <c r="R741" s="64"/>
      <c r="S741" s="68"/>
      <c r="T741" s="64"/>
      <c r="U741" s="64"/>
      <c r="V741" s="64"/>
      <c r="W741" s="64"/>
      <c r="X741" s="64"/>
      <c r="Y741" s="64"/>
      <c r="Z741" s="64"/>
      <c r="AA741" s="64"/>
      <c r="AB741" s="64"/>
      <c r="AC741" s="68"/>
      <c r="AD741" s="64"/>
    </row>
    <row r="742" ht="15.75" customHeight="1">
      <c r="A742" s="64"/>
      <c r="B742" s="64"/>
      <c r="C742" s="64"/>
      <c r="D742" s="64"/>
      <c r="E742" s="64"/>
      <c r="G742" s="68"/>
      <c r="H742" s="67"/>
      <c r="I742" s="64"/>
      <c r="J742" s="64"/>
      <c r="K742" s="64"/>
      <c r="L742" s="64"/>
      <c r="M742" s="64"/>
      <c r="N742" s="64"/>
      <c r="O742" s="64"/>
      <c r="P742" s="64"/>
      <c r="Q742" s="64"/>
      <c r="R742" s="64"/>
      <c r="S742" s="68"/>
      <c r="T742" s="64"/>
      <c r="U742" s="64"/>
      <c r="V742" s="64"/>
      <c r="W742" s="64"/>
      <c r="X742" s="64"/>
      <c r="Y742" s="64"/>
      <c r="Z742" s="64"/>
      <c r="AA742" s="64"/>
      <c r="AB742" s="64"/>
      <c r="AC742" s="68"/>
      <c r="AD742" s="64"/>
    </row>
    <row r="743" ht="15.75" customHeight="1">
      <c r="A743" s="64"/>
      <c r="B743" s="64"/>
      <c r="C743" s="64"/>
      <c r="D743" s="64"/>
      <c r="E743" s="64"/>
      <c r="G743" s="68"/>
      <c r="H743" s="67"/>
      <c r="I743" s="64"/>
      <c r="J743" s="64"/>
      <c r="K743" s="64"/>
      <c r="L743" s="64"/>
      <c r="M743" s="64"/>
      <c r="N743" s="64"/>
      <c r="O743" s="64"/>
      <c r="P743" s="64"/>
      <c r="Q743" s="64"/>
      <c r="R743" s="64"/>
      <c r="S743" s="68"/>
      <c r="T743" s="64"/>
      <c r="U743" s="64"/>
      <c r="V743" s="64"/>
      <c r="W743" s="64"/>
      <c r="X743" s="64"/>
      <c r="Y743" s="64"/>
      <c r="Z743" s="64"/>
      <c r="AA743" s="64"/>
      <c r="AB743" s="64"/>
      <c r="AC743" s="68"/>
      <c r="AD743" s="64"/>
    </row>
    <row r="744" ht="15.75" customHeight="1">
      <c r="A744" s="64"/>
      <c r="B744" s="64"/>
      <c r="C744" s="64"/>
      <c r="D744" s="64"/>
      <c r="E744" s="64"/>
      <c r="G744" s="68"/>
      <c r="H744" s="67"/>
      <c r="I744" s="64"/>
      <c r="J744" s="64"/>
      <c r="K744" s="64"/>
      <c r="L744" s="64"/>
      <c r="M744" s="64"/>
      <c r="N744" s="64"/>
      <c r="O744" s="64"/>
      <c r="P744" s="64"/>
      <c r="Q744" s="64"/>
      <c r="R744" s="64"/>
      <c r="S744" s="68"/>
      <c r="T744" s="64"/>
      <c r="U744" s="64"/>
      <c r="V744" s="64"/>
      <c r="W744" s="64"/>
      <c r="X744" s="64"/>
      <c r="Y744" s="64"/>
      <c r="Z744" s="64"/>
      <c r="AA744" s="64"/>
      <c r="AB744" s="64"/>
      <c r="AC744" s="68"/>
      <c r="AD744" s="64"/>
    </row>
    <row r="745" ht="15.75" customHeight="1">
      <c r="A745" s="64"/>
      <c r="B745" s="64"/>
      <c r="C745" s="64"/>
      <c r="D745" s="64"/>
      <c r="E745" s="64"/>
      <c r="G745" s="68"/>
      <c r="H745" s="67"/>
      <c r="I745" s="64"/>
      <c r="J745" s="64"/>
      <c r="K745" s="64"/>
      <c r="L745" s="64"/>
      <c r="M745" s="64"/>
      <c r="N745" s="64"/>
      <c r="O745" s="64"/>
      <c r="P745" s="64"/>
      <c r="Q745" s="64"/>
      <c r="R745" s="64"/>
      <c r="S745" s="68"/>
      <c r="T745" s="64"/>
      <c r="U745" s="64"/>
      <c r="V745" s="64"/>
      <c r="W745" s="64"/>
      <c r="X745" s="64"/>
      <c r="Y745" s="64"/>
      <c r="Z745" s="64"/>
      <c r="AA745" s="64"/>
      <c r="AB745" s="64"/>
      <c r="AC745" s="68"/>
      <c r="AD745" s="64"/>
    </row>
    <row r="746" ht="15.75" customHeight="1">
      <c r="A746" s="64"/>
      <c r="B746" s="64"/>
      <c r="C746" s="64"/>
      <c r="D746" s="64"/>
      <c r="E746" s="64"/>
      <c r="G746" s="68"/>
      <c r="H746" s="67"/>
      <c r="I746" s="64"/>
      <c r="J746" s="64"/>
      <c r="K746" s="64"/>
      <c r="L746" s="64"/>
      <c r="M746" s="64"/>
      <c r="N746" s="64"/>
      <c r="O746" s="64"/>
      <c r="P746" s="64"/>
      <c r="Q746" s="64"/>
      <c r="R746" s="64"/>
      <c r="S746" s="68"/>
      <c r="T746" s="64"/>
      <c r="U746" s="64"/>
      <c r="V746" s="64"/>
      <c r="W746" s="64"/>
      <c r="X746" s="64"/>
      <c r="Y746" s="64"/>
      <c r="Z746" s="64"/>
      <c r="AA746" s="64"/>
      <c r="AB746" s="64"/>
      <c r="AC746" s="68"/>
      <c r="AD746" s="64"/>
    </row>
    <row r="747" ht="15.75" customHeight="1">
      <c r="A747" s="64"/>
      <c r="B747" s="64"/>
      <c r="C747" s="64"/>
      <c r="D747" s="64"/>
      <c r="E747" s="64"/>
      <c r="G747" s="68"/>
      <c r="H747" s="67"/>
      <c r="I747" s="64"/>
      <c r="J747" s="64"/>
      <c r="K747" s="64"/>
      <c r="L747" s="64"/>
      <c r="M747" s="64"/>
      <c r="N747" s="64"/>
      <c r="O747" s="64"/>
      <c r="P747" s="64"/>
      <c r="Q747" s="64"/>
      <c r="R747" s="64"/>
      <c r="S747" s="68"/>
      <c r="T747" s="64"/>
      <c r="U747" s="64"/>
      <c r="V747" s="64"/>
      <c r="W747" s="64"/>
      <c r="X747" s="64"/>
      <c r="Y747" s="64"/>
      <c r="Z747" s="64"/>
      <c r="AA747" s="64"/>
      <c r="AB747" s="64"/>
      <c r="AC747" s="68"/>
      <c r="AD747" s="64"/>
    </row>
    <row r="748" ht="15.75" customHeight="1">
      <c r="A748" s="64"/>
      <c r="B748" s="64"/>
      <c r="C748" s="64"/>
      <c r="D748" s="64"/>
      <c r="E748" s="64"/>
      <c r="G748" s="68"/>
      <c r="H748" s="67"/>
      <c r="I748" s="64"/>
      <c r="J748" s="64"/>
      <c r="K748" s="64"/>
      <c r="L748" s="64"/>
      <c r="M748" s="64"/>
      <c r="N748" s="64"/>
      <c r="O748" s="64"/>
      <c r="P748" s="64"/>
      <c r="Q748" s="64"/>
      <c r="R748" s="64"/>
      <c r="S748" s="68"/>
      <c r="T748" s="64"/>
      <c r="U748" s="64"/>
      <c r="V748" s="64"/>
      <c r="W748" s="64"/>
      <c r="X748" s="64"/>
      <c r="Y748" s="64"/>
      <c r="Z748" s="64"/>
      <c r="AA748" s="64"/>
      <c r="AB748" s="64"/>
      <c r="AC748" s="68"/>
      <c r="AD748" s="64"/>
    </row>
    <row r="749" ht="15.75" customHeight="1">
      <c r="A749" s="64"/>
      <c r="B749" s="64"/>
      <c r="C749" s="64"/>
      <c r="D749" s="64"/>
      <c r="E749" s="64"/>
      <c r="G749" s="68"/>
      <c r="H749" s="67"/>
      <c r="I749" s="64"/>
      <c r="J749" s="64"/>
      <c r="K749" s="64"/>
      <c r="L749" s="64"/>
      <c r="M749" s="64"/>
      <c r="N749" s="64"/>
      <c r="O749" s="64"/>
      <c r="P749" s="64"/>
      <c r="Q749" s="64"/>
      <c r="R749" s="64"/>
      <c r="S749" s="68"/>
      <c r="T749" s="64"/>
      <c r="U749" s="64"/>
      <c r="V749" s="64"/>
      <c r="W749" s="64"/>
      <c r="X749" s="64"/>
      <c r="Y749" s="64"/>
      <c r="Z749" s="64"/>
      <c r="AA749" s="64"/>
      <c r="AB749" s="64"/>
      <c r="AC749" s="68"/>
      <c r="AD749" s="64"/>
    </row>
    <row r="750" ht="15.75" customHeight="1">
      <c r="A750" s="64"/>
      <c r="B750" s="64"/>
      <c r="C750" s="64"/>
      <c r="D750" s="64"/>
      <c r="E750" s="64"/>
      <c r="G750" s="68"/>
      <c r="H750" s="67"/>
      <c r="I750" s="64"/>
      <c r="J750" s="64"/>
      <c r="K750" s="64"/>
      <c r="L750" s="64"/>
      <c r="M750" s="64"/>
      <c r="N750" s="64"/>
      <c r="O750" s="64"/>
      <c r="P750" s="64"/>
      <c r="Q750" s="64"/>
      <c r="R750" s="64"/>
      <c r="S750" s="68"/>
      <c r="T750" s="64"/>
      <c r="U750" s="64"/>
      <c r="V750" s="64"/>
      <c r="W750" s="64"/>
      <c r="X750" s="64"/>
      <c r="Y750" s="64"/>
      <c r="Z750" s="64"/>
      <c r="AA750" s="64"/>
      <c r="AB750" s="64"/>
      <c r="AC750" s="68"/>
      <c r="AD750" s="64"/>
    </row>
    <row r="751" ht="15.75" customHeight="1">
      <c r="A751" s="64"/>
      <c r="B751" s="64"/>
      <c r="C751" s="64"/>
      <c r="D751" s="64"/>
      <c r="E751" s="64"/>
      <c r="G751" s="68"/>
      <c r="H751" s="67"/>
      <c r="I751" s="64"/>
      <c r="J751" s="64"/>
      <c r="K751" s="64"/>
      <c r="L751" s="64"/>
      <c r="M751" s="64"/>
      <c r="N751" s="64"/>
      <c r="O751" s="64"/>
      <c r="P751" s="64"/>
      <c r="Q751" s="64"/>
      <c r="R751" s="64"/>
      <c r="S751" s="68"/>
      <c r="T751" s="64"/>
      <c r="U751" s="64"/>
      <c r="V751" s="64"/>
      <c r="W751" s="64"/>
      <c r="X751" s="64"/>
      <c r="Y751" s="64"/>
      <c r="Z751" s="64"/>
      <c r="AA751" s="64"/>
      <c r="AB751" s="64"/>
      <c r="AC751" s="68"/>
      <c r="AD751" s="64"/>
    </row>
    <row r="752" ht="15.75" customHeight="1">
      <c r="A752" s="64"/>
      <c r="B752" s="64"/>
      <c r="C752" s="64"/>
      <c r="D752" s="64"/>
      <c r="E752" s="64"/>
      <c r="G752" s="68"/>
      <c r="H752" s="67"/>
      <c r="I752" s="64"/>
      <c r="J752" s="64"/>
      <c r="K752" s="64"/>
      <c r="L752" s="64"/>
      <c r="M752" s="64"/>
      <c r="N752" s="64"/>
      <c r="O752" s="64"/>
      <c r="P752" s="64"/>
      <c r="Q752" s="64"/>
      <c r="R752" s="64"/>
      <c r="S752" s="68"/>
      <c r="T752" s="64"/>
      <c r="U752" s="64"/>
      <c r="V752" s="64"/>
      <c r="W752" s="64"/>
      <c r="X752" s="64"/>
      <c r="Y752" s="64"/>
      <c r="Z752" s="64"/>
      <c r="AA752" s="64"/>
      <c r="AB752" s="64"/>
      <c r="AC752" s="68"/>
      <c r="AD752" s="64"/>
    </row>
    <row r="753" ht="15.75" customHeight="1">
      <c r="A753" s="64"/>
      <c r="B753" s="64"/>
      <c r="C753" s="64"/>
      <c r="D753" s="64"/>
      <c r="E753" s="64"/>
      <c r="G753" s="68"/>
      <c r="H753" s="67"/>
      <c r="I753" s="64"/>
      <c r="J753" s="64"/>
      <c r="K753" s="64"/>
      <c r="L753" s="64"/>
      <c r="M753" s="64"/>
      <c r="N753" s="64"/>
      <c r="O753" s="64"/>
      <c r="P753" s="64"/>
      <c r="Q753" s="64"/>
      <c r="R753" s="64"/>
      <c r="S753" s="68"/>
      <c r="T753" s="64"/>
      <c r="U753" s="64"/>
      <c r="V753" s="64"/>
      <c r="W753" s="64"/>
      <c r="X753" s="64"/>
      <c r="Y753" s="64"/>
      <c r="Z753" s="64"/>
      <c r="AA753" s="64"/>
      <c r="AB753" s="64"/>
      <c r="AC753" s="68"/>
      <c r="AD753" s="64"/>
    </row>
    <row r="754" ht="15.75" customHeight="1">
      <c r="A754" s="64"/>
      <c r="B754" s="64"/>
      <c r="C754" s="64"/>
      <c r="D754" s="64"/>
      <c r="E754" s="64"/>
      <c r="G754" s="68"/>
      <c r="H754" s="67"/>
      <c r="I754" s="64"/>
      <c r="J754" s="64"/>
      <c r="K754" s="64"/>
      <c r="L754" s="64"/>
      <c r="M754" s="64"/>
      <c r="N754" s="64"/>
      <c r="O754" s="64"/>
      <c r="P754" s="64"/>
      <c r="Q754" s="64"/>
      <c r="R754" s="64"/>
      <c r="S754" s="68"/>
      <c r="T754" s="64"/>
      <c r="U754" s="64"/>
      <c r="V754" s="64"/>
      <c r="W754" s="64"/>
      <c r="X754" s="64"/>
      <c r="Y754" s="64"/>
      <c r="Z754" s="64"/>
      <c r="AA754" s="64"/>
      <c r="AB754" s="64"/>
      <c r="AC754" s="68"/>
      <c r="AD754" s="64"/>
    </row>
    <row r="755" ht="15.75" customHeight="1">
      <c r="A755" s="64"/>
      <c r="B755" s="64"/>
      <c r="C755" s="64"/>
      <c r="D755" s="64"/>
      <c r="E755" s="64"/>
      <c r="G755" s="68"/>
      <c r="H755" s="67"/>
      <c r="I755" s="64"/>
      <c r="J755" s="64"/>
      <c r="K755" s="64"/>
      <c r="L755" s="64"/>
      <c r="M755" s="64"/>
      <c r="N755" s="64"/>
      <c r="O755" s="64"/>
      <c r="P755" s="64"/>
      <c r="Q755" s="64"/>
      <c r="R755" s="64"/>
      <c r="S755" s="68"/>
      <c r="T755" s="64"/>
      <c r="U755" s="64"/>
      <c r="V755" s="64"/>
      <c r="W755" s="64"/>
      <c r="X755" s="64"/>
      <c r="Y755" s="64"/>
      <c r="Z755" s="64"/>
      <c r="AA755" s="64"/>
      <c r="AB755" s="64"/>
      <c r="AC755" s="68"/>
      <c r="AD755" s="64"/>
    </row>
    <row r="756" ht="15.75" customHeight="1">
      <c r="A756" s="64"/>
      <c r="B756" s="64"/>
      <c r="C756" s="64"/>
      <c r="D756" s="64"/>
      <c r="E756" s="64"/>
      <c r="G756" s="68"/>
      <c r="H756" s="67"/>
      <c r="I756" s="64"/>
      <c r="J756" s="64"/>
      <c r="K756" s="64"/>
      <c r="L756" s="64"/>
      <c r="M756" s="64"/>
      <c r="N756" s="64"/>
      <c r="O756" s="64"/>
      <c r="P756" s="64"/>
      <c r="Q756" s="64"/>
      <c r="R756" s="64"/>
      <c r="S756" s="68"/>
      <c r="T756" s="64"/>
      <c r="U756" s="64"/>
      <c r="V756" s="64"/>
      <c r="W756" s="64"/>
      <c r="X756" s="64"/>
      <c r="Y756" s="64"/>
      <c r="Z756" s="64"/>
      <c r="AA756" s="64"/>
      <c r="AB756" s="64"/>
      <c r="AC756" s="68"/>
      <c r="AD756" s="64"/>
    </row>
    <row r="757" ht="15.75" customHeight="1">
      <c r="A757" s="64"/>
      <c r="B757" s="64"/>
      <c r="C757" s="64"/>
      <c r="D757" s="64"/>
      <c r="E757" s="64"/>
      <c r="G757" s="68"/>
      <c r="H757" s="67"/>
      <c r="I757" s="64"/>
      <c r="J757" s="64"/>
      <c r="K757" s="64"/>
      <c r="L757" s="64"/>
      <c r="M757" s="64"/>
      <c r="N757" s="64"/>
      <c r="O757" s="64"/>
      <c r="P757" s="64"/>
      <c r="Q757" s="64"/>
      <c r="R757" s="64"/>
      <c r="S757" s="68"/>
      <c r="T757" s="64"/>
      <c r="U757" s="64"/>
      <c r="V757" s="64"/>
      <c r="W757" s="64"/>
      <c r="X757" s="64"/>
      <c r="Y757" s="64"/>
      <c r="Z757" s="64"/>
      <c r="AA757" s="64"/>
      <c r="AB757" s="64"/>
      <c r="AC757" s="68"/>
      <c r="AD757" s="64"/>
    </row>
    <row r="758" ht="15.75" customHeight="1">
      <c r="A758" s="64"/>
      <c r="B758" s="64"/>
      <c r="C758" s="64"/>
      <c r="D758" s="64"/>
      <c r="E758" s="64"/>
      <c r="G758" s="68"/>
      <c r="H758" s="67"/>
      <c r="I758" s="64"/>
      <c r="J758" s="64"/>
      <c r="K758" s="64"/>
      <c r="L758" s="64"/>
      <c r="M758" s="64"/>
      <c r="N758" s="64"/>
      <c r="O758" s="64"/>
      <c r="P758" s="64"/>
      <c r="Q758" s="64"/>
      <c r="R758" s="64"/>
      <c r="S758" s="68"/>
      <c r="T758" s="64"/>
      <c r="U758" s="64"/>
      <c r="V758" s="64"/>
      <c r="W758" s="64"/>
      <c r="X758" s="64"/>
      <c r="Y758" s="64"/>
      <c r="Z758" s="64"/>
      <c r="AA758" s="64"/>
      <c r="AB758" s="64"/>
      <c r="AC758" s="68"/>
      <c r="AD758" s="64"/>
    </row>
    <row r="759" ht="15.75" customHeight="1">
      <c r="A759" s="64"/>
      <c r="B759" s="64"/>
      <c r="C759" s="64"/>
      <c r="D759" s="64"/>
      <c r="E759" s="64"/>
      <c r="G759" s="68"/>
      <c r="H759" s="67"/>
      <c r="I759" s="64"/>
      <c r="J759" s="64"/>
      <c r="K759" s="64"/>
      <c r="L759" s="64"/>
      <c r="M759" s="64"/>
      <c r="N759" s="64"/>
      <c r="O759" s="64"/>
      <c r="P759" s="64"/>
      <c r="Q759" s="64"/>
      <c r="R759" s="64"/>
      <c r="S759" s="68"/>
      <c r="T759" s="64"/>
      <c r="U759" s="64"/>
      <c r="V759" s="64"/>
      <c r="W759" s="64"/>
      <c r="X759" s="64"/>
      <c r="Y759" s="64"/>
      <c r="Z759" s="64"/>
      <c r="AA759" s="64"/>
      <c r="AB759" s="64"/>
      <c r="AC759" s="68"/>
      <c r="AD759" s="64"/>
    </row>
    <row r="760" ht="15.75" customHeight="1">
      <c r="A760" s="64"/>
      <c r="B760" s="64"/>
      <c r="C760" s="64"/>
      <c r="D760" s="64"/>
      <c r="E760" s="64"/>
      <c r="G760" s="68"/>
      <c r="H760" s="67"/>
      <c r="I760" s="64"/>
      <c r="J760" s="64"/>
      <c r="K760" s="64"/>
      <c r="L760" s="64"/>
      <c r="M760" s="64"/>
      <c r="N760" s="64"/>
      <c r="O760" s="64"/>
      <c r="P760" s="64"/>
      <c r="Q760" s="64"/>
      <c r="R760" s="64"/>
      <c r="S760" s="68"/>
      <c r="T760" s="64"/>
      <c r="U760" s="64"/>
      <c r="V760" s="64"/>
      <c r="W760" s="64"/>
      <c r="X760" s="64"/>
      <c r="Y760" s="64"/>
      <c r="Z760" s="64"/>
      <c r="AA760" s="64"/>
      <c r="AB760" s="64"/>
      <c r="AC760" s="68"/>
      <c r="AD760" s="64"/>
    </row>
    <row r="761" ht="15.75" customHeight="1">
      <c r="A761" s="64"/>
      <c r="B761" s="64"/>
      <c r="C761" s="64"/>
      <c r="D761" s="64"/>
      <c r="E761" s="64"/>
      <c r="G761" s="68"/>
      <c r="H761" s="67"/>
      <c r="I761" s="64"/>
      <c r="J761" s="64"/>
      <c r="K761" s="64"/>
      <c r="L761" s="64"/>
      <c r="M761" s="64"/>
      <c r="N761" s="64"/>
      <c r="O761" s="64"/>
      <c r="P761" s="64"/>
      <c r="Q761" s="64"/>
      <c r="R761" s="64"/>
      <c r="S761" s="68"/>
      <c r="T761" s="64"/>
      <c r="U761" s="64"/>
      <c r="V761" s="64"/>
      <c r="W761" s="64"/>
      <c r="X761" s="64"/>
      <c r="Y761" s="64"/>
      <c r="Z761" s="64"/>
      <c r="AA761" s="64"/>
      <c r="AB761" s="64"/>
      <c r="AC761" s="68"/>
      <c r="AD761" s="64"/>
    </row>
    <row r="762" ht="15.75" customHeight="1">
      <c r="A762" s="64"/>
      <c r="B762" s="64"/>
      <c r="C762" s="64"/>
      <c r="D762" s="64"/>
      <c r="E762" s="64"/>
      <c r="G762" s="68"/>
      <c r="H762" s="67"/>
      <c r="I762" s="64"/>
      <c r="J762" s="64"/>
      <c r="K762" s="64"/>
      <c r="L762" s="64"/>
      <c r="M762" s="64"/>
      <c r="N762" s="64"/>
      <c r="O762" s="64"/>
      <c r="P762" s="64"/>
      <c r="Q762" s="64"/>
      <c r="R762" s="64"/>
      <c r="S762" s="68"/>
      <c r="T762" s="64"/>
      <c r="U762" s="64"/>
      <c r="V762" s="64"/>
      <c r="W762" s="64"/>
      <c r="X762" s="64"/>
      <c r="Y762" s="64"/>
      <c r="Z762" s="64"/>
      <c r="AA762" s="64"/>
      <c r="AB762" s="64"/>
      <c r="AC762" s="68"/>
      <c r="AD762" s="64"/>
    </row>
    <row r="763" ht="15.75" customHeight="1">
      <c r="A763" s="64"/>
      <c r="B763" s="64"/>
      <c r="C763" s="64"/>
      <c r="D763" s="64"/>
      <c r="E763" s="64"/>
      <c r="G763" s="68"/>
      <c r="H763" s="67"/>
      <c r="I763" s="64"/>
      <c r="J763" s="64"/>
      <c r="K763" s="64"/>
      <c r="L763" s="64"/>
      <c r="M763" s="64"/>
      <c r="N763" s="64"/>
      <c r="O763" s="64"/>
      <c r="P763" s="64"/>
      <c r="Q763" s="64"/>
      <c r="R763" s="64"/>
      <c r="S763" s="68"/>
      <c r="T763" s="64"/>
      <c r="U763" s="64"/>
      <c r="V763" s="64"/>
      <c r="W763" s="64"/>
      <c r="X763" s="64"/>
      <c r="Y763" s="64"/>
      <c r="Z763" s="64"/>
      <c r="AA763" s="64"/>
      <c r="AB763" s="64"/>
      <c r="AC763" s="68"/>
      <c r="AD763" s="64"/>
    </row>
    <row r="764" ht="15.75" customHeight="1">
      <c r="A764" s="64"/>
      <c r="B764" s="64"/>
      <c r="C764" s="64"/>
      <c r="D764" s="64"/>
      <c r="E764" s="64"/>
      <c r="G764" s="68"/>
      <c r="H764" s="67"/>
      <c r="I764" s="64"/>
      <c r="J764" s="64"/>
      <c r="K764" s="64"/>
      <c r="L764" s="64"/>
      <c r="M764" s="64"/>
      <c r="N764" s="64"/>
      <c r="O764" s="64"/>
      <c r="P764" s="64"/>
      <c r="Q764" s="64"/>
      <c r="R764" s="64"/>
      <c r="S764" s="68"/>
      <c r="T764" s="64"/>
      <c r="U764" s="64"/>
      <c r="V764" s="64"/>
      <c r="W764" s="64"/>
      <c r="X764" s="64"/>
      <c r="Y764" s="64"/>
      <c r="Z764" s="64"/>
      <c r="AA764" s="64"/>
      <c r="AB764" s="64"/>
      <c r="AC764" s="68"/>
      <c r="AD764" s="64"/>
    </row>
    <row r="765" ht="15.75" customHeight="1">
      <c r="A765" s="64"/>
      <c r="B765" s="64"/>
      <c r="C765" s="64"/>
      <c r="D765" s="64"/>
      <c r="E765" s="64"/>
      <c r="G765" s="68"/>
      <c r="H765" s="67"/>
      <c r="I765" s="64"/>
      <c r="J765" s="64"/>
      <c r="K765" s="64"/>
      <c r="L765" s="64"/>
      <c r="M765" s="64"/>
      <c r="N765" s="64"/>
      <c r="O765" s="64"/>
      <c r="P765" s="64"/>
      <c r="Q765" s="64"/>
      <c r="R765" s="64"/>
      <c r="S765" s="68"/>
      <c r="T765" s="64"/>
      <c r="U765" s="64"/>
      <c r="V765" s="64"/>
      <c r="W765" s="64"/>
      <c r="X765" s="64"/>
      <c r="Y765" s="64"/>
      <c r="Z765" s="64"/>
      <c r="AA765" s="64"/>
      <c r="AB765" s="64"/>
      <c r="AC765" s="68"/>
      <c r="AD765" s="64"/>
    </row>
    <row r="766" ht="15.75" customHeight="1">
      <c r="A766" s="64"/>
      <c r="B766" s="64"/>
      <c r="C766" s="64"/>
      <c r="D766" s="64"/>
      <c r="E766" s="64"/>
      <c r="G766" s="68"/>
      <c r="H766" s="67"/>
      <c r="I766" s="64"/>
      <c r="J766" s="64"/>
      <c r="K766" s="64"/>
      <c r="L766" s="64"/>
      <c r="M766" s="64"/>
      <c r="N766" s="64"/>
      <c r="O766" s="64"/>
      <c r="P766" s="64"/>
      <c r="Q766" s="64"/>
      <c r="R766" s="64"/>
      <c r="S766" s="68"/>
      <c r="T766" s="64"/>
      <c r="U766" s="64"/>
      <c r="V766" s="64"/>
      <c r="W766" s="64"/>
      <c r="X766" s="64"/>
      <c r="Y766" s="64"/>
      <c r="Z766" s="64"/>
      <c r="AA766" s="64"/>
      <c r="AB766" s="64"/>
      <c r="AC766" s="68"/>
      <c r="AD766" s="64"/>
    </row>
    <row r="767" ht="15.75" customHeight="1">
      <c r="A767" s="64"/>
      <c r="B767" s="64"/>
      <c r="C767" s="64"/>
      <c r="D767" s="64"/>
      <c r="E767" s="64"/>
      <c r="G767" s="68"/>
      <c r="H767" s="67"/>
      <c r="I767" s="64"/>
      <c r="J767" s="64"/>
      <c r="K767" s="64"/>
      <c r="L767" s="64"/>
      <c r="M767" s="64"/>
      <c r="N767" s="64"/>
      <c r="O767" s="64"/>
      <c r="P767" s="64"/>
      <c r="Q767" s="64"/>
      <c r="R767" s="64"/>
      <c r="S767" s="68"/>
      <c r="T767" s="64"/>
      <c r="U767" s="64"/>
      <c r="V767" s="64"/>
      <c r="W767" s="64"/>
      <c r="X767" s="64"/>
      <c r="Y767" s="64"/>
      <c r="Z767" s="64"/>
      <c r="AA767" s="64"/>
      <c r="AB767" s="64"/>
      <c r="AC767" s="68"/>
      <c r="AD767" s="64"/>
    </row>
    <row r="768" ht="15.75" customHeight="1">
      <c r="A768" s="64"/>
      <c r="B768" s="64"/>
      <c r="C768" s="64"/>
      <c r="D768" s="64"/>
      <c r="E768" s="64"/>
      <c r="G768" s="68"/>
      <c r="H768" s="67"/>
      <c r="I768" s="64"/>
      <c r="J768" s="64"/>
      <c r="K768" s="64"/>
      <c r="L768" s="64"/>
      <c r="M768" s="64"/>
      <c r="N768" s="64"/>
      <c r="O768" s="64"/>
      <c r="P768" s="64"/>
      <c r="Q768" s="64"/>
      <c r="R768" s="64"/>
      <c r="S768" s="68"/>
      <c r="T768" s="64"/>
      <c r="U768" s="64"/>
      <c r="V768" s="64"/>
      <c r="W768" s="64"/>
      <c r="X768" s="64"/>
      <c r="Y768" s="64"/>
      <c r="Z768" s="64"/>
      <c r="AA768" s="64"/>
      <c r="AB768" s="64"/>
      <c r="AC768" s="68"/>
      <c r="AD768" s="64"/>
    </row>
    <row r="769" ht="15.75" customHeight="1">
      <c r="A769" s="64"/>
      <c r="B769" s="64"/>
      <c r="C769" s="64"/>
      <c r="D769" s="64"/>
      <c r="E769" s="64"/>
      <c r="G769" s="68"/>
      <c r="H769" s="67"/>
      <c r="I769" s="64"/>
      <c r="J769" s="64"/>
      <c r="K769" s="64"/>
      <c r="L769" s="64"/>
      <c r="M769" s="64"/>
      <c r="N769" s="64"/>
      <c r="O769" s="64"/>
      <c r="P769" s="64"/>
      <c r="Q769" s="64"/>
      <c r="R769" s="64"/>
      <c r="S769" s="68"/>
      <c r="T769" s="64"/>
      <c r="U769" s="64"/>
      <c r="V769" s="64"/>
      <c r="W769" s="64"/>
      <c r="X769" s="64"/>
      <c r="Y769" s="64"/>
      <c r="Z769" s="64"/>
      <c r="AA769" s="64"/>
      <c r="AB769" s="64"/>
      <c r="AC769" s="68"/>
      <c r="AD769" s="64"/>
    </row>
    <row r="770" ht="15.75" customHeight="1">
      <c r="A770" s="64"/>
      <c r="B770" s="64"/>
      <c r="C770" s="64"/>
      <c r="D770" s="64"/>
      <c r="E770" s="64"/>
      <c r="G770" s="68"/>
      <c r="H770" s="67"/>
      <c r="I770" s="64"/>
      <c r="J770" s="64"/>
      <c r="K770" s="64"/>
      <c r="L770" s="64"/>
      <c r="M770" s="64"/>
      <c r="N770" s="64"/>
      <c r="O770" s="64"/>
      <c r="P770" s="64"/>
      <c r="Q770" s="64"/>
      <c r="R770" s="64"/>
      <c r="S770" s="68"/>
      <c r="T770" s="64"/>
      <c r="U770" s="64"/>
      <c r="V770" s="64"/>
      <c r="W770" s="64"/>
      <c r="X770" s="64"/>
      <c r="Y770" s="64"/>
      <c r="Z770" s="64"/>
      <c r="AA770" s="64"/>
      <c r="AB770" s="64"/>
      <c r="AC770" s="68"/>
      <c r="AD770" s="64"/>
    </row>
    <row r="771" ht="15.75" customHeight="1">
      <c r="A771" s="64"/>
      <c r="B771" s="64"/>
      <c r="C771" s="64"/>
      <c r="D771" s="64"/>
      <c r="E771" s="64"/>
      <c r="G771" s="68"/>
      <c r="H771" s="67"/>
      <c r="I771" s="64"/>
      <c r="J771" s="64"/>
      <c r="K771" s="64"/>
      <c r="L771" s="64"/>
      <c r="M771" s="64"/>
      <c r="N771" s="64"/>
      <c r="O771" s="64"/>
      <c r="P771" s="64"/>
      <c r="Q771" s="64"/>
      <c r="R771" s="64"/>
      <c r="S771" s="68"/>
      <c r="T771" s="64"/>
      <c r="U771" s="64"/>
      <c r="V771" s="64"/>
      <c r="W771" s="64"/>
      <c r="X771" s="64"/>
      <c r="Y771" s="64"/>
      <c r="Z771" s="64"/>
      <c r="AA771" s="64"/>
      <c r="AB771" s="64"/>
      <c r="AC771" s="68"/>
      <c r="AD771" s="64"/>
    </row>
    <row r="772" ht="15.75" customHeight="1">
      <c r="A772" s="64"/>
      <c r="B772" s="64"/>
      <c r="C772" s="64"/>
      <c r="D772" s="64"/>
      <c r="E772" s="64"/>
      <c r="G772" s="68"/>
      <c r="H772" s="67"/>
      <c r="I772" s="64"/>
      <c r="J772" s="64"/>
      <c r="K772" s="64"/>
      <c r="L772" s="64"/>
      <c r="M772" s="64"/>
      <c r="N772" s="64"/>
      <c r="O772" s="64"/>
      <c r="P772" s="64"/>
      <c r="Q772" s="64"/>
      <c r="R772" s="64"/>
      <c r="S772" s="68"/>
      <c r="T772" s="64"/>
      <c r="U772" s="64"/>
      <c r="V772" s="64"/>
      <c r="W772" s="64"/>
      <c r="X772" s="64"/>
      <c r="Y772" s="64"/>
      <c r="Z772" s="64"/>
      <c r="AA772" s="64"/>
      <c r="AB772" s="64"/>
      <c r="AC772" s="68"/>
      <c r="AD772" s="64"/>
    </row>
    <row r="773" ht="15.75" customHeight="1">
      <c r="A773" s="64"/>
      <c r="B773" s="64"/>
      <c r="C773" s="64"/>
      <c r="D773" s="64"/>
      <c r="E773" s="64"/>
      <c r="G773" s="68"/>
      <c r="H773" s="67"/>
      <c r="I773" s="64"/>
      <c r="J773" s="64"/>
      <c r="K773" s="64"/>
      <c r="L773" s="64"/>
      <c r="M773" s="64"/>
      <c r="N773" s="64"/>
      <c r="O773" s="64"/>
      <c r="P773" s="64"/>
      <c r="Q773" s="64"/>
      <c r="R773" s="64"/>
      <c r="S773" s="68"/>
      <c r="T773" s="64"/>
      <c r="U773" s="64"/>
      <c r="V773" s="64"/>
      <c r="W773" s="64"/>
      <c r="X773" s="64"/>
      <c r="Y773" s="64"/>
      <c r="Z773" s="64"/>
      <c r="AA773" s="64"/>
      <c r="AB773" s="64"/>
      <c r="AC773" s="68"/>
      <c r="AD773" s="64"/>
    </row>
    <row r="774" ht="15.75" customHeight="1">
      <c r="A774" s="64"/>
      <c r="B774" s="64"/>
      <c r="C774" s="64"/>
      <c r="D774" s="64"/>
      <c r="E774" s="64"/>
      <c r="G774" s="68"/>
      <c r="H774" s="67"/>
      <c r="I774" s="64"/>
      <c r="J774" s="64"/>
      <c r="K774" s="64"/>
      <c r="L774" s="64"/>
      <c r="M774" s="64"/>
      <c r="N774" s="64"/>
      <c r="O774" s="64"/>
      <c r="P774" s="64"/>
      <c r="Q774" s="64"/>
      <c r="R774" s="64"/>
      <c r="S774" s="68"/>
      <c r="T774" s="64"/>
      <c r="U774" s="64"/>
      <c r="V774" s="64"/>
      <c r="W774" s="64"/>
      <c r="X774" s="64"/>
      <c r="Y774" s="64"/>
      <c r="Z774" s="64"/>
      <c r="AA774" s="64"/>
      <c r="AB774" s="64"/>
      <c r="AC774" s="68"/>
      <c r="AD774" s="64"/>
    </row>
    <row r="775" ht="15.75" customHeight="1">
      <c r="A775" s="64"/>
      <c r="B775" s="64"/>
      <c r="C775" s="64"/>
      <c r="D775" s="64"/>
      <c r="E775" s="64"/>
      <c r="G775" s="68"/>
      <c r="H775" s="67"/>
      <c r="I775" s="64"/>
      <c r="J775" s="64"/>
      <c r="K775" s="64"/>
      <c r="L775" s="64"/>
      <c r="M775" s="64"/>
      <c r="N775" s="64"/>
      <c r="O775" s="64"/>
      <c r="P775" s="64"/>
      <c r="Q775" s="64"/>
      <c r="R775" s="64"/>
      <c r="S775" s="68"/>
      <c r="T775" s="64"/>
      <c r="U775" s="64"/>
      <c r="V775" s="64"/>
      <c r="W775" s="64"/>
      <c r="X775" s="64"/>
      <c r="Y775" s="64"/>
      <c r="Z775" s="64"/>
      <c r="AA775" s="64"/>
      <c r="AB775" s="64"/>
      <c r="AC775" s="68"/>
      <c r="AD775" s="64"/>
    </row>
    <row r="776" ht="15.75" customHeight="1">
      <c r="A776" s="64"/>
      <c r="B776" s="64"/>
      <c r="C776" s="64"/>
      <c r="D776" s="64"/>
      <c r="E776" s="64"/>
      <c r="G776" s="68"/>
      <c r="H776" s="67"/>
      <c r="I776" s="64"/>
      <c r="J776" s="64"/>
      <c r="K776" s="64"/>
      <c r="L776" s="64"/>
      <c r="M776" s="64"/>
      <c r="N776" s="64"/>
      <c r="O776" s="64"/>
      <c r="P776" s="64"/>
      <c r="Q776" s="64"/>
      <c r="R776" s="64"/>
      <c r="S776" s="68"/>
      <c r="T776" s="64"/>
      <c r="U776" s="64"/>
      <c r="V776" s="64"/>
      <c r="W776" s="64"/>
      <c r="X776" s="64"/>
      <c r="Y776" s="64"/>
      <c r="Z776" s="64"/>
      <c r="AA776" s="64"/>
      <c r="AB776" s="64"/>
      <c r="AC776" s="68"/>
      <c r="AD776" s="64"/>
    </row>
    <row r="777" ht="15.75" customHeight="1">
      <c r="A777" s="64"/>
      <c r="B777" s="64"/>
      <c r="C777" s="64"/>
      <c r="D777" s="64"/>
      <c r="E777" s="64"/>
      <c r="G777" s="68"/>
      <c r="H777" s="67"/>
      <c r="I777" s="64"/>
      <c r="J777" s="64"/>
      <c r="K777" s="64"/>
      <c r="L777" s="64"/>
      <c r="M777" s="64"/>
      <c r="N777" s="64"/>
      <c r="O777" s="64"/>
      <c r="P777" s="64"/>
      <c r="Q777" s="64"/>
      <c r="R777" s="64"/>
      <c r="S777" s="68"/>
      <c r="T777" s="64"/>
      <c r="U777" s="64"/>
      <c r="V777" s="64"/>
      <c r="W777" s="64"/>
      <c r="X777" s="64"/>
      <c r="Y777" s="64"/>
      <c r="Z777" s="64"/>
      <c r="AA777" s="64"/>
      <c r="AB777" s="64"/>
      <c r="AC777" s="68"/>
      <c r="AD777" s="64"/>
    </row>
    <row r="778" ht="15.75" customHeight="1">
      <c r="A778" s="64"/>
      <c r="B778" s="64"/>
      <c r="C778" s="64"/>
      <c r="D778" s="64"/>
      <c r="E778" s="64"/>
      <c r="G778" s="68"/>
      <c r="H778" s="67"/>
      <c r="I778" s="64"/>
      <c r="J778" s="64"/>
      <c r="K778" s="64"/>
      <c r="L778" s="64"/>
      <c r="M778" s="64"/>
      <c r="N778" s="64"/>
      <c r="O778" s="64"/>
      <c r="P778" s="64"/>
      <c r="Q778" s="64"/>
      <c r="R778" s="64"/>
      <c r="S778" s="68"/>
      <c r="T778" s="64"/>
      <c r="U778" s="64"/>
      <c r="V778" s="64"/>
      <c r="W778" s="64"/>
      <c r="X778" s="64"/>
      <c r="Y778" s="64"/>
      <c r="Z778" s="64"/>
      <c r="AA778" s="64"/>
      <c r="AB778" s="64"/>
      <c r="AC778" s="68"/>
      <c r="AD778" s="64"/>
    </row>
    <row r="779" ht="15.75" customHeight="1">
      <c r="A779" s="64"/>
      <c r="B779" s="64"/>
      <c r="C779" s="64"/>
      <c r="D779" s="64"/>
      <c r="E779" s="64"/>
      <c r="G779" s="68"/>
      <c r="H779" s="67"/>
      <c r="I779" s="64"/>
      <c r="J779" s="64"/>
      <c r="K779" s="64"/>
      <c r="L779" s="64"/>
      <c r="M779" s="64"/>
      <c r="N779" s="64"/>
      <c r="O779" s="64"/>
      <c r="P779" s="64"/>
      <c r="Q779" s="64"/>
      <c r="R779" s="64"/>
      <c r="S779" s="68"/>
      <c r="T779" s="64"/>
      <c r="U779" s="64"/>
      <c r="V779" s="64"/>
      <c r="W779" s="64"/>
      <c r="X779" s="64"/>
      <c r="Y779" s="64"/>
      <c r="Z779" s="64"/>
      <c r="AA779" s="64"/>
      <c r="AB779" s="64"/>
      <c r="AC779" s="68"/>
      <c r="AD779" s="64"/>
    </row>
    <row r="780" ht="15.75" customHeight="1">
      <c r="A780" s="64"/>
      <c r="B780" s="64"/>
      <c r="C780" s="64"/>
      <c r="D780" s="64"/>
      <c r="E780" s="64"/>
      <c r="G780" s="68"/>
      <c r="H780" s="67"/>
      <c r="I780" s="64"/>
      <c r="J780" s="64"/>
      <c r="K780" s="64"/>
      <c r="L780" s="64"/>
      <c r="M780" s="64"/>
      <c r="N780" s="64"/>
      <c r="O780" s="64"/>
      <c r="P780" s="64"/>
      <c r="Q780" s="64"/>
      <c r="R780" s="64"/>
      <c r="S780" s="68"/>
      <c r="T780" s="64"/>
      <c r="U780" s="64"/>
      <c r="V780" s="64"/>
      <c r="W780" s="64"/>
      <c r="X780" s="64"/>
      <c r="Y780" s="64"/>
      <c r="Z780" s="64"/>
      <c r="AA780" s="64"/>
      <c r="AB780" s="64"/>
      <c r="AC780" s="68"/>
      <c r="AD780" s="64"/>
    </row>
    <row r="781" ht="15.75" customHeight="1">
      <c r="A781" s="64"/>
      <c r="B781" s="64"/>
      <c r="C781" s="64"/>
      <c r="D781" s="64"/>
      <c r="E781" s="64"/>
      <c r="G781" s="68"/>
      <c r="H781" s="67"/>
      <c r="I781" s="64"/>
      <c r="J781" s="64"/>
      <c r="K781" s="64"/>
      <c r="L781" s="64"/>
      <c r="M781" s="64"/>
      <c r="N781" s="64"/>
      <c r="O781" s="64"/>
      <c r="P781" s="64"/>
      <c r="Q781" s="64"/>
      <c r="R781" s="64"/>
      <c r="S781" s="68"/>
      <c r="T781" s="64"/>
      <c r="U781" s="64"/>
      <c r="V781" s="64"/>
      <c r="W781" s="64"/>
      <c r="X781" s="64"/>
      <c r="Y781" s="64"/>
      <c r="Z781" s="64"/>
      <c r="AA781" s="64"/>
      <c r="AB781" s="64"/>
      <c r="AC781" s="68"/>
      <c r="AD781" s="64"/>
    </row>
    <row r="782" ht="15.75" customHeight="1">
      <c r="A782" s="64"/>
      <c r="B782" s="64"/>
      <c r="C782" s="64"/>
      <c r="D782" s="64"/>
      <c r="E782" s="64"/>
      <c r="G782" s="68"/>
      <c r="H782" s="67"/>
      <c r="I782" s="64"/>
      <c r="J782" s="64"/>
      <c r="K782" s="64"/>
      <c r="L782" s="64"/>
      <c r="M782" s="64"/>
      <c r="N782" s="64"/>
      <c r="O782" s="64"/>
      <c r="P782" s="64"/>
      <c r="Q782" s="64"/>
      <c r="R782" s="64"/>
      <c r="S782" s="68"/>
      <c r="T782" s="64"/>
      <c r="U782" s="64"/>
      <c r="V782" s="64"/>
      <c r="W782" s="64"/>
      <c r="X782" s="64"/>
      <c r="Y782" s="64"/>
      <c r="Z782" s="64"/>
      <c r="AA782" s="64"/>
      <c r="AB782" s="64"/>
      <c r="AC782" s="68"/>
      <c r="AD782" s="64"/>
    </row>
    <row r="783" ht="15.75" customHeight="1">
      <c r="A783" s="64"/>
      <c r="B783" s="64"/>
      <c r="C783" s="64"/>
      <c r="D783" s="64"/>
      <c r="E783" s="64"/>
      <c r="G783" s="68"/>
      <c r="H783" s="67"/>
      <c r="I783" s="64"/>
      <c r="J783" s="64"/>
      <c r="K783" s="64"/>
      <c r="L783" s="64"/>
      <c r="M783" s="64"/>
      <c r="N783" s="64"/>
      <c r="O783" s="64"/>
      <c r="P783" s="64"/>
      <c r="Q783" s="64"/>
      <c r="R783" s="64"/>
      <c r="S783" s="68"/>
      <c r="T783" s="64"/>
      <c r="U783" s="64"/>
      <c r="V783" s="64"/>
      <c r="W783" s="64"/>
      <c r="X783" s="64"/>
      <c r="Y783" s="64"/>
      <c r="Z783" s="64"/>
      <c r="AA783" s="64"/>
      <c r="AB783" s="64"/>
      <c r="AC783" s="68"/>
      <c r="AD783" s="64"/>
    </row>
    <row r="784" ht="15.75" customHeight="1">
      <c r="A784" s="64"/>
      <c r="B784" s="64"/>
      <c r="C784" s="64"/>
      <c r="D784" s="64"/>
      <c r="E784" s="64"/>
      <c r="G784" s="68"/>
      <c r="H784" s="67"/>
      <c r="I784" s="64"/>
      <c r="J784" s="64"/>
      <c r="K784" s="64"/>
      <c r="L784" s="64"/>
      <c r="M784" s="64"/>
      <c r="N784" s="64"/>
      <c r="O784" s="64"/>
      <c r="P784" s="64"/>
      <c r="Q784" s="64"/>
      <c r="R784" s="64"/>
      <c r="S784" s="68"/>
      <c r="T784" s="64"/>
      <c r="U784" s="64"/>
      <c r="V784" s="64"/>
      <c r="W784" s="64"/>
      <c r="X784" s="64"/>
      <c r="Y784" s="64"/>
      <c r="Z784" s="64"/>
      <c r="AA784" s="64"/>
      <c r="AB784" s="64"/>
      <c r="AC784" s="68"/>
      <c r="AD784" s="64"/>
    </row>
    <row r="785" ht="15.75" customHeight="1">
      <c r="A785" s="64"/>
      <c r="B785" s="64"/>
      <c r="C785" s="64"/>
      <c r="D785" s="64"/>
      <c r="E785" s="64"/>
      <c r="G785" s="68"/>
      <c r="H785" s="67"/>
      <c r="I785" s="64"/>
      <c r="J785" s="64"/>
      <c r="K785" s="64"/>
      <c r="L785" s="64"/>
      <c r="M785" s="64"/>
      <c r="N785" s="64"/>
      <c r="O785" s="64"/>
      <c r="P785" s="64"/>
      <c r="Q785" s="64"/>
      <c r="R785" s="64"/>
      <c r="S785" s="68"/>
      <c r="T785" s="64"/>
      <c r="U785" s="64"/>
      <c r="V785" s="64"/>
      <c r="W785" s="64"/>
      <c r="X785" s="64"/>
      <c r="Y785" s="64"/>
      <c r="Z785" s="64"/>
      <c r="AA785" s="64"/>
      <c r="AB785" s="64"/>
      <c r="AC785" s="68"/>
      <c r="AD785" s="64"/>
    </row>
    <row r="786" ht="15.75" customHeight="1">
      <c r="A786" s="64"/>
      <c r="B786" s="64"/>
      <c r="C786" s="64"/>
      <c r="D786" s="64"/>
      <c r="E786" s="64"/>
      <c r="G786" s="68"/>
      <c r="H786" s="67"/>
      <c r="I786" s="64"/>
      <c r="J786" s="64"/>
      <c r="K786" s="64"/>
      <c r="L786" s="64"/>
      <c r="M786" s="64"/>
      <c r="N786" s="64"/>
      <c r="O786" s="64"/>
      <c r="P786" s="64"/>
      <c r="Q786" s="64"/>
      <c r="R786" s="64"/>
      <c r="S786" s="68"/>
      <c r="T786" s="64"/>
      <c r="U786" s="64"/>
      <c r="V786" s="64"/>
      <c r="W786" s="64"/>
      <c r="X786" s="64"/>
      <c r="Y786" s="64"/>
      <c r="Z786" s="64"/>
      <c r="AA786" s="64"/>
      <c r="AB786" s="64"/>
      <c r="AC786" s="68"/>
      <c r="AD786" s="64"/>
    </row>
    <row r="787" ht="15.75" customHeight="1">
      <c r="A787" s="64"/>
      <c r="B787" s="64"/>
      <c r="C787" s="64"/>
      <c r="D787" s="64"/>
      <c r="E787" s="64"/>
      <c r="G787" s="68"/>
      <c r="H787" s="67"/>
      <c r="I787" s="64"/>
      <c r="J787" s="64"/>
      <c r="K787" s="64"/>
      <c r="L787" s="64"/>
      <c r="M787" s="64"/>
      <c r="N787" s="64"/>
      <c r="O787" s="64"/>
      <c r="P787" s="64"/>
      <c r="Q787" s="64"/>
      <c r="R787" s="64"/>
      <c r="S787" s="68"/>
      <c r="T787" s="64"/>
      <c r="U787" s="64"/>
      <c r="V787" s="64"/>
      <c r="W787" s="64"/>
      <c r="X787" s="64"/>
      <c r="Y787" s="64"/>
      <c r="Z787" s="64"/>
      <c r="AA787" s="64"/>
      <c r="AB787" s="64"/>
      <c r="AC787" s="68"/>
      <c r="AD787" s="64"/>
    </row>
    <row r="788" ht="15.75" customHeight="1">
      <c r="A788" s="64"/>
      <c r="B788" s="64"/>
      <c r="C788" s="64"/>
      <c r="D788" s="64"/>
      <c r="E788" s="64"/>
      <c r="G788" s="68"/>
      <c r="H788" s="67"/>
      <c r="I788" s="64"/>
      <c r="J788" s="64"/>
      <c r="K788" s="64"/>
      <c r="L788" s="64"/>
      <c r="M788" s="64"/>
      <c r="N788" s="64"/>
      <c r="O788" s="64"/>
      <c r="P788" s="64"/>
      <c r="Q788" s="64"/>
      <c r="R788" s="64"/>
      <c r="S788" s="68"/>
      <c r="T788" s="64"/>
      <c r="U788" s="64"/>
      <c r="V788" s="64"/>
      <c r="W788" s="64"/>
      <c r="X788" s="64"/>
      <c r="Y788" s="64"/>
      <c r="Z788" s="64"/>
      <c r="AA788" s="64"/>
      <c r="AB788" s="64"/>
      <c r="AC788" s="68"/>
      <c r="AD788" s="64"/>
    </row>
    <row r="789" ht="15.75" customHeight="1">
      <c r="A789" s="64"/>
      <c r="B789" s="64"/>
      <c r="C789" s="64"/>
      <c r="D789" s="64"/>
      <c r="E789" s="64"/>
      <c r="G789" s="68"/>
      <c r="H789" s="67"/>
      <c r="I789" s="64"/>
      <c r="J789" s="64"/>
      <c r="K789" s="64"/>
      <c r="L789" s="64"/>
      <c r="M789" s="64"/>
      <c r="N789" s="64"/>
      <c r="O789" s="64"/>
      <c r="P789" s="64"/>
      <c r="Q789" s="64"/>
      <c r="R789" s="64"/>
      <c r="S789" s="68"/>
      <c r="T789" s="64"/>
      <c r="U789" s="64"/>
      <c r="V789" s="64"/>
      <c r="W789" s="64"/>
      <c r="X789" s="64"/>
      <c r="Y789" s="64"/>
      <c r="Z789" s="64"/>
      <c r="AA789" s="64"/>
      <c r="AB789" s="64"/>
      <c r="AC789" s="68"/>
      <c r="AD789" s="64"/>
    </row>
    <row r="790" ht="15.75" customHeight="1">
      <c r="A790" s="64"/>
      <c r="B790" s="64"/>
      <c r="C790" s="64"/>
      <c r="D790" s="64"/>
      <c r="E790" s="64"/>
      <c r="G790" s="68"/>
      <c r="H790" s="67"/>
      <c r="I790" s="64"/>
      <c r="J790" s="64"/>
      <c r="K790" s="64"/>
      <c r="L790" s="64"/>
      <c r="M790" s="64"/>
      <c r="N790" s="64"/>
      <c r="O790" s="64"/>
      <c r="P790" s="64"/>
      <c r="Q790" s="64"/>
      <c r="R790" s="64"/>
      <c r="S790" s="68"/>
      <c r="T790" s="64"/>
      <c r="U790" s="64"/>
      <c r="V790" s="64"/>
      <c r="W790" s="64"/>
      <c r="X790" s="64"/>
      <c r="Y790" s="64"/>
      <c r="Z790" s="64"/>
      <c r="AA790" s="64"/>
      <c r="AB790" s="64"/>
      <c r="AC790" s="68"/>
      <c r="AD790" s="64"/>
    </row>
    <row r="791" ht="15.75" customHeight="1">
      <c r="A791" s="64"/>
      <c r="B791" s="64"/>
      <c r="C791" s="64"/>
      <c r="D791" s="64"/>
      <c r="E791" s="64"/>
      <c r="G791" s="68"/>
      <c r="H791" s="67"/>
      <c r="I791" s="64"/>
      <c r="J791" s="64"/>
      <c r="K791" s="64"/>
      <c r="L791" s="64"/>
      <c r="M791" s="64"/>
      <c r="N791" s="64"/>
      <c r="O791" s="64"/>
      <c r="P791" s="64"/>
      <c r="Q791" s="64"/>
      <c r="R791" s="64"/>
      <c r="S791" s="68"/>
      <c r="T791" s="64"/>
      <c r="U791" s="64"/>
      <c r="V791" s="64"/>
      <c r="W791" s="64"/>
      <c r="X791" s="64"/>
      <c r="Y791" s="64"/>
      <c r="Z791" s="64"/>
      <c r="AA791" s="64"/>
      <c r="AB791" s="64"/>
      <c r="AC791" s="68"/>
      <c r="AD791" s="64"/>
    </row>
    <row r="792" ht="15.75" customHeight="1">
      <c r="A792" s="64"/>
      <c r="B792" s="64"/>
      <c r="C792" s="64"/>
      <c r="D792" s="64"/>
      <c r="E792" s="64"/>
      <c r="G792" s="68"/>
      <c r="H792" s="67"/>
      <c r="I792" s="64"/>
      <c r="J792" s="64"/>
      <c r="K792" s="64"/>
      <c r="L792" s="64"/>
      <c r="M792" s="64"/>
      <c r="N792" s="64"/>
      <c r="O792" s="64"/>
      <c r="P792" s="64"/>
      <c r="Q792" s="64"/>
      <c r="R792" s="64"/>
      <c r="S792" s="68"/>
      <c r="T792" s="64"/>
      <c r="U792" s="64"/>
      <c r="V792" s="64"/>
      <c r="W792" s="64"/>
      <c r="X792" s="64"/>
      <c r="Y792" s="64"/>
      <c r="Z792" s="64"/>
      <c r="AA792" s="64"/>
      <c r="AB792" s="64"/>
      <c r="AC792" s="68"/>
      <c r="AD792" s="64"/>
    </row>
    <row r="793" ht="15.75" customHeight="1">
      <c r="A793" s="64"/>
      <c r="B793" s="64"/>
      <c r="C793" s="64"/>
      <c r="D793" s="64"/>
      <c r="E793" s="64"/>
      <c r="G793" s="68"/>
      <c r="H793" s="67"/>
      <c r="I793" s="64"/>
      <c r="J793" s="64"/>
      <c r="K793" s="64"/>
      <c r="L793" s="64"/>
      <c r="M793" s="64"/>
      <c r="N793" s="64"/>
      <c r="O793" s="64"/>
      <c r="P793" s="64"/>
      <c r="Q793" s="64"/>
      <c r="R793" s="64"/>
      <c r="S793" s="68"/>
      <c r="T793" s="64"/>
      <c r="U793" s="64"/>
      <c r="V793" s="64"/>
      <c r="W793" s="64"/>
      <c r="X793" s="64"/>
      <c r="Y793" s="64"/>
      <c r="Z793" s="64"/>
      <c r="AA793" s="64"/>
      <c r="AB793" s="64"/>
      <c r="AC793" s="68"/>
      <c r="AD793" s="64"/>
    </row>
    <row r="794" ht="15.75" customHeight="1">
      <c r="A794" s="64"/>
      <c r="B794" s="64"/>
      <c r="C794" s="64"/>
      <c r="D794" s="64"/>
      <c r="E794" s="64"/>
      <c r="G794" s="68"/>
      <c r="H794" s="67"/>
      <c r="I794" s="64"/>
      <c r="J794" s="64"/>
      <c r="K794" s="64"/>
      <c r="L794" s="64"/>
      <c r="M794" s="64"/>
      <c r="N794" s="64"/>
      <c r="O794" s="64"/>
      <c r="P794" s="64"/>
      <c r="Q794" s="64"/>
      <c r="R794" s="64"/>
      <c r="S794" s="68"/>
      <c r="T794" s="64"/>
      <c r="U794" s="64"/>
      <c r="V794" s="64"/>
      <c r="W794" s="64"/>
      <c r="X794" s="64"/>
      <c r="Y794" s="64"/>
      <c r="Z794" s="64"/>
      <c r="AA794" s="64"/>
      <c r="AB794" s="64"/>
      <c r="AC794" s="68"/>
      <c r="AD794" s="64"/>
    </row>
    <row r="795" ht="15.75" customHeight="1">
      <c r="A795" s="64"/>
      <c r="B795" s="64"/>
      <c r="C795" s="64"/>
      <c r="D795" s="64"/>
      <c r="E795" s="64"/>
      <c r="G795" s="68"/>
      <c r="H795" s="67"/>
      <c r="I795" s="64"/>
      <c r="J795" s="64"/>
      <c r="K795" s="64"/>
      <c r="L795" s="64"/>
      <c r="M795" s="64"/>
      <c r="N795" s="64"/>
      <c r="O795" s="64"/>
      <c r="P795" s="64"/>
      <c r="Q795" s="64"/>
      <c r="R795" s="64"/>
      <c r="S795" s="68"/>
      <c r="T795" s="64"/>
      <c r="U795" s="64"/>
      <c r="V795" s="64"/>
      <c r="W795" s="64"/>
      <c r="X795" s="64"/>
      <c r="Y795" s="64"/>
      <c r="Z795" s="64"/>
      <c r="AA795" s="64"/>
      <c r="AB795" s="64"/>
      <c r="AC795" s="68"/>
      <c r="AD795" s="64"/>
    </row>
    <row r="796" ht="15.75" customHeight="1">
      <c r="A796" s="64"/>
      <c r="B796" s="64"/>
      <c r="C796" s="64"/>
      <c r="D796" s="64"/>
      <c r="E796" s="64"/>
      <c r="G796" s="68"/>
      <c r="H796" s="67"/>
      <c r="I796" s="64"/>
      <c r="J796" s="64"/>
      <c r="K796" s="64"/>
      <c r="L796" s="64"/>
      <c r="M796" s="64"/>
      <c r="N796" s="64"/>
      <c r="O796" s="64"/>
      <c r="P796" s="64"/>
      <c r="Q796" s="64"/>
      <c r="R796" s="64"/>
      <c r="S796" s="68"/>
      <c r="T796" s="64"/>
      <c r="U796" s="64"/>
      <c r="V796" s="64"/>
      <c r="W796" s="64"/>
      <c r="X796" s="64"/>
      <c r="Y796" s="64"/>
      <c r="Z796" s="64"/>
      <c r="AA796" s="64"/>
      <c r="AB796" s="64"/>
      <c r="AC796" s="68"/>
      <c r="AD796" s="64"/>
    </row>
    <row r="797" ht="15.75" customHeight="1">
      <c r="A797" s="64"/>
      <c r="B797" s="64"/>
      <c r="C797" s="64"/>
      <c r="D797" s="64"/>
      <c r="E797" s="64"/>
      <c r="G797" s="68"/>
      <c r="H797" s="67"/>
      <c r="I797" s="64"/>
      <c r="J797" s="64"/>
      <c r="K797" s="64"/>
      <c r="L797" s="64"/>
      <c r="M797" s="64"/>
      <c r="N797" s="64"/>
      <c r="O797" s="64"/>
      <c r="P797" s="64"/>
      <c r="Q797" s="64"/>
      <c r="R797" s="64"/>
      <c r="S797" s="68"/>
      <c r="T797" s="64"/>
      <c r="U797" s="64"/>
      <c r="V797" s="64"/>
      <c r="W797" s="64"/>
      <c r="X797" s="64"/>
      <c r="Y797" s="64"/>
      <c r="Z797" s="64"/>
      <c r="AA797" s="64"/>
      <c r="AB797" s="64"/>
      <c r="AC797" s="68"/>
      <c r="AD797" s="64"/>
    </row>
    <row r="798" ht="15.75" customHeight="1">
      <c r="A798" s="64"/>
      <c r="B798" s="64"/>
      <c r="C798" s="64"/>
      <c r="D798" s="64"/>
      <c r="E798" s="64"/>
      <c r="G798" s="68"/>
      <c r="H798" s="67"/>
      <c r="I798" s="64"/>
      <c r="J798" s="64"/>
      <c r="K798" s="64"/>
      <c r="L798" s="64"/>
      <c r="M798" s="64"/>
      <c r="N798" s="64"/>
      <c r="O798" s="64"/>
      <c r="P798" s="64"/>
      <c r="Q798" s="64"/>
      <c r="R798" s="64"/>
      <c r="S798" s="68"/>
      <c r="T798" s="64"/>
      <c r="U798" s="64"/>
      <c r="V798" s="64"/>
      <c r="W798" s="64"/>
      <c r="X798" s="64"/>
      <c r="Y798" s="64"/>
      <c r="Z798" s="64"/>
      <c r="AA798" s="64"/>
      <c r="AB798" s="64"/>
      <c r="AC798" s="68"/>
      <c r="AD798" s="64"/>
    </row>
    <row r="799" ht="15.75" customHeight="1">
      <c r="A799" s="64"/>
      <c r="B799" s="64"/>
      <c r="C799" s="64"/>
      <c r="D799" s="64"/>
      <c r="E799" s="64"/>
      <c r="G799" s="68"/>
      <c r="H799" s="67"/>
      <c r="I799" s="64"/>
      <c r="J799" s="64"/>
      <c r="K799" s="64"/>
      <c r="L799" s="64"/>
      <c r="M799" s="64"/>
      <c r="N799" s="64"/>
      <c r="O799" s="64"/>
      <c r="P799" s="64"/>
      <c r="Q799" s="64"/>
      <c r="R799" s="64"/>
      <c r="S799" s="68"/>
      <c r="T799" s="64"/>
      <c r="U799" s="64"/>
      <c r="V799" s="64"/>
      <c r="W799" s="64"/>
      <c r="X799" s="64"/>
      <c r="Y799" s="64"/>
      <c r="Z799" s="64"/>
      <c r="AA799" s="64"/>
      <c r="AB799" s="64"/>
      <c r="AC799" s="68"/>
      <c r="AD799" s="64"/>
    </row>
    <row r="800" ht="15.75" customHeight="1">
      <c r="A800" s="64"/>
      <c r="B800" s="64"/>
      <c r="C800" s="64"/>
      <c r="D800" s="64"/>
      <c r="E800" s="64"/>
      <c r="G800" s="68"/>
      <c r="H800" s="67"/>
      <c r="I800" s="64"/>
      <c r="J800" s="64"/>
      <c r="K800" s="64"/>
      <c r="L800" s="64"/>
      <c r="M800" s="64"/>
      <c r="N800" s="64"/>
      <c r="O800" s="64"/>
      <c r="P800" s="64"/>
      <c r="Q800" s="64"/>
      <c r="R800" s="64"/>
      <c r="S800" s="68"/>
      <c r="T800" s="64"/>
      <c r="U800" s="64"/>
      <c r="V800" s="64"/>
      <c r="W800" s="64"/>
      <c r="X800" s="64"/>
      <c r="Y800" s="64"/>
      <c r="Z800" s="64"/>
      <c r="AA800" s="64"/>
      <c r="AB800" s="64"/>
      <c r="AC800" s="68"/>
      <c r="AD800" s="64"/>
    </row>
    <row r="801" ht="15.75" customHeight="1">
      <c r="A801" s="64"/>
      <c r="B801" s="64"/>
      <c r="C801" s="64"/>
      <c r="D801" s="64"/>
      <c r="E801" s="64"/>
      <c r="G801" s="68"/>
      <c r="H801" s="67"/>
      <c r="I801" s="64"/>
      <c r="J801" s="64"/>
      <c r="K801" s="64"/>
      <c r="L801" s="64"/>
      <c r="M801" s="64"/>
      <c r="N801" s="64"/>
      <c r="O801" s="64"/>
      <c r="P801" s="64"/>
      <c r="Q801" s="64"/>
      <c r="R801" s="64"/>
      <c r="S801" s="68"/>
      <c r="T801" s="64"/>
      <c r="U801" s="64"/>
      <c r="V801" s="64"/>
      <c r="W801" s="64"/>
      <c r="X801" s="64"/>
      <c r="Y801" s="64"/>
      <c r="Z801" s="64"/>
      <c r="AA801" s="64"/>
      <c r="AB801" s="64"/>
      <c r="AC801" s="68"/>
      <c r="AD801" s="64"/>
    </row>
    <row r="802" ht="15.75" customHeight="1">
      <c r="A802" s="64"/>
      <c r="B802" s="64"/>
      <c r="C802" s="64"/>
      <c r="D802" s="64"/>
      <c r="E802" s="64"/>
      <c r="G802" s="68"/>
      <c r="H802" s="67"/>
      <c r="I802" s="64"/>
      <c r="J802" s="64"/>
      <c r="K802" s="64"/>
      <c r="L802" s="64"/>
      <c r="M802" s="64"/>
      <c r="N802" s="64"/>
      <c r="O802" s="64"/>
      <c r="P802" s="64"/>
      <c r="Q802" s="64"/>
      <c r="R802" s="64"/>
      <c r="S802" s="68"/>
      <c r="T802" s="64"/>
      <c r="U802" s="64"/>
      <c r="V802" s="64"/>
      <c r="W802" s="64"/>
      <c r="X802" s="64"/>
      <c r="Y802" s="64"/>
      <c r="Z802" s="64"/>
      <c r="AA802" s="64"/>
      <c r="AB802" s="64"/>
      <c r="AC802" s="68"/>
      <c r="AD802" s="64"/>
    </row>
    <row r="803" ht="15.75" customHeight="1">
      <c r="A803" s="64"/>
      <c r="B803" s="64"/>
      <c r="C803" s="64"/>
      <c r="D803" s="64"/>
      <c r="E803" s="64"/>
      <c r="G803" s="68"/>
      <c r="H803" s="67"/>
      <c r="I803" s="64"/>
      <c r="J803" s="64"/>
      <c r="K803" s="64"/>
      <c r="L803" s="64"/>
      <c r="M803" s="64"/>
      <c r="N803" s="64"/>
      <c r="O803" s="64"/>
      <c r="P803" s="64"/>
      <c r="Q803" s="64"/>
      <c r="R803" s="64"/>
      <c r="S803" s="68"/>
      <c r="T803" s="64"/>
      <c r="U803" s="64"/>
      <c r="V803" s="64"/>
      <c r="W803" s="64"/>
      <c r="X803" s="64"/>
      <c r="Y803" s="64"/>
      <c r="Z803" s="64"/>
      <c r="AA803" s="64"/>
      <c r="AB803" s="64"/>
      <c r="AC803" s="68"/>
      <c r="AD803" s="64"/>
    </row>
    <row r="804" ht="15.75" customHeight="1">
      <c r="A804" s="64"/>
      <c r="B804" s="64"/>
      <c r="C804" s="64"/>
      <c r="D804" s="64"/>
      <c r="E804" s="64"/>
      <c r="G804" s="68"/>
      <c r="H804" s="67"/>
      <c r="I804" s="64"/>
      <c r="J804" s="64"/>
      <c r="K804" s="64"/>
      <c r="L804" s="64"/>
      <c r="M804" s="64"/>
      <c r="N804" s="64"/>
      <c r="O804" s="64"/>
      <c r="P804" s="64"/>
      <c r="Q804" s="64"/>
      <c r="R804" s="64"/>
      <c r="S804" s="68"/>
      <c r="T804" s="64"/>
      <c r="U804" s="64"/>
      <c r="V804" s="64"/>
      <c r="W804" s="64"/>
      <c r="X804" s="64"/>
      <c r="Y804" s="64"/>
      <c r="Z804" s="64"/>
      <c r="AA804" s="64"/>
      <c r="AB804" s="64"/>
      <c r="AC804" s="68"/>
      <c r="AD804" s="64"/>
    </row>
    <row r="805" ht="15.75" customHeight="1">
      <c r="A805" s="64"/>
      <c r="B805" s="64"/>
      <c r="C805" s="64"/>
      <c r="D805" s="64"/>
      <c r="E805" s="64"/>
      <c r="G805" s="68"/>
      <c r="H805" s="67"/>
      <c r="I805" s="64"/>
      <c r="J805" s="64"/>
      <c r="K805" s="64"/>
      <c r="L805" s="64"/>
      <c r="M805" s="64"/>
      <c r="N805" s="64"/>
      <c r="O805" s="64"/>
      <c r="P805" s="64"/>
      <c r="Q805" s="64"/>
      <c r="R805" s="64"/>
      <c r="S805" s="68"/>
      <c r="T805" s="64"/>
      <c r="U805" s="64"/>
      <c r="V805" s="64"/>
      <c r="W805" s="64"/>
      <c r="X805" s="64"/>
      <c r="Y805" s="64"/>
      <c r="Z805" s="64"/>
      <c r="AA805" s="64"/>
      <c r="AB805" s="64"/>
      <c r="AC805" s="68"/>
      <c r="AD805" s="64"/>
    </row>
    <row r="806" ht="15.75" customHeight="1">
      <c r="A806" s="64"/>
      <c r="B806" s="64"/>
      <c r="C806" s="64"/>
      <c r="D806" s="64"/>
      <c r="E806" s="64"/>
      <c r="G806" s="68"/>
      <c r="H806" s="67"/>
      <c r="I806" s="64"/>
      <c r="J806" s="64"/>
      <c r="K806" s="64"/>
      <c r="L806" s="64"/>
      <c r="M806" s="64"/>
      <c r="N806" s="64"/>
      <c r="O806" s="64"/>
      <c r="P806" s="64"/>
      <c r="Q806" s="64"/>
      <c r="R806" s="64"/>
      <c r="S806" s="68"/>
      <c r="T806" s="64"/>
      <c r="U806" s="64"/>
      <c r="V806" s="64"/>
      <c r="W806" s="64"/>
      <c r="X806" s="64"/>
      <c r="Y806" s="64"/>
      <c r="Z806" s="64"/>
      <c r="AA806" s="64"/>
      <c r="AB806" s="64"/>
      <c r="AC806" s="68"/>
      <c r="AD806" s="64"/>
    </row>
    <row r="807" ht="15.75" customHeight="1">
      <c r="A807" s="64"/>
      <c r="B807" s="64"/>
      <c r="C807" s="64"/>
      <c r="D807" s="64"/>
      <c r="E807" s="64"/>
      <c r="G807" s="68"/>
      <c r="H807" s="67"/>
      <c r="I807" s="64"/>
      <c r="J807" s="64"/>
      <c r="K807" s="64"/>
      <c r="L807" s="64"/>
      <c r="M807" s="64"/>
      <c r="N807" s="64"/>
      <c r="O807" s="64"/>
      <c r="P807" s="64"/>
      <c r="Q807" s="64"/>
      <c r="R807" s="64"/>
      <c r="S807" s="68"/>
      <c r="T807" s="64"/>
      <c r="U807" s="64"/>
      <c r="V807" s="64"/>
      <c r="W807" s="64"/>
      <c r="X807" s="64"/>
      <c r="Y807" s="64"/>
      <c r="Z807" s="64"/>
      <c r="AA807" s="64"/>
      <c r="AB807" s="64"/>
      <c r="AC807" s="68"/>
      <c r="AD807" s="64"/>
    </row>
    <row r="808" ht="15.75" customHeight="1">
      <c r="A808" s="64"/>
      <c r="B808" s="64"/>
      <c r="C808" s="64"/>
      <c r="D808" s="64"/>
      <c r="E808" s="64"/>
      <c r="G808" s="68"/>
      <c r="H808" s="67"/>
      <c r="I808" s="64"/>
      <c r="J808" s="64"/>
      <c r="K808" s="64"/>
      <c r="L808" s="64"/>
      <c r="M808" s="64"/>
      <c r="N808" s="64"/>
      <c r="O808" s="64"/>
      <c r="P808" s="64"/>
      <c r="Q808" s="64"/>
      <c r="R808" s="64"/>
      <c r="S808" s="68"/>
      <c r="T808" s="64"/>
      <c r="U808" s="64"/>
      <c r="V808" s="64"/>
      <c r="W808" s="64"/>
      <c r="X808" s="64"/>
      <c r="Y808" s="64"/>
      <c r="Z808" s="64"/>
      <c r="AA808" s="64"/>
      <c r="AB808" s="64"/>
      <c r="AC808" s="68"/>
      <c r="AD808" s="64"/>
    </row>
    <row r="809" ht="15.75" customHeight="1">
      <c r="A809" s="64"/>
      <c r="B809" s="64"/>
      <c r="C809" s="64"/>
      <c r="D809" s="64"/>
      <c r="E809" s="64"/>
      <c r="G809" s="68"/>
      <c r="H809" s="67"/>
      <c r="I809" s="64"/>
      <c r="J809" s="64"/>
      <c r="K809" s="64"/>
      <c r="L809" s="64"/>
      <c r="M809" s="64"/>
      <c r="N809" s="64"/>
      <c r="O809" s="64"/>
      <c r="P809" s="64"/>
      <c r="Q809" s="64"/>
      <c r="R809" s="64"/>
      <c r="S809" s="68"/>
      <c r="T809" s="64"/>
      <c r="U809" s="64"/>
      <c r="V809" s="64"/>
      <c r="W809" s="64"/>
      <c r="X809" s="64"/>
      <c r="Y809" s="64"/>
      <c r="Z809" s="64"/>
      <c r="AA809" s="64"/>
      <c r="AB809" s="64"/>
      <c r="AC809" s="68"/>
      <c r="AD809" s="64"/>
    </row>
    <row r="810" ht="15.75" customHeight="1">
      <c r="A810" s="64"/>
      <c r="B810" s="64"/>
      <c r="C810" s="64"/>
      <c r="D810" s="64"/>
      <c r="E810" s="64"/>
      <c r="G810" s="68"/>
      <c r="H810" s="67"/>
      <c r="I810" s="64"/>
      <c r="J810" s="64"/>
      <c r="K810" s="64"/>
      <c r="L810" s="64"/>
      <c r="M810" s="64"/>
      <c r="N810" s="64"/>
      <c r="O810" s="64"/>
      <c r="P810" s="64"/>
      <c r="Q810" s="64"/>
      <c r="R810" s="64"/>
      <c r="S810" s="68"/>
      <c r="T810" s="64"/>
      <c r="U810" s="64"/>
      <c r="V810" s="64"/>
      <c r="W810" s="64"/>
      <c r="X810" s="64"/>
      <c r="Y810" s="64"/>
      <c r="Z810" s="64"/>
      <c r="AA810" s="64"/>
      <c r="AB810" s="64"/>
      <c r="AC810" s="68"/>
      <c r="AD810" s="64"/>
    </row>
    <row r="811" ht="15.75" customHeight="1">
      <c r="A811" s="64"/>
      <c r="B811" s="64"/>
      <c r="C811" s="64"/>
      <c r="D811" s="64"/>
      <c r="E811" s="64"/>
      <c r="G811" s="68"/>
      <c r="H811" s="67"/>
      <c r="I811" s="64"/>
      <c r="J811" s="64"/>
      <c r="K811" s="64"/>
      <c r="L811" s="64"/>
      <c r="M811" s="64"/>
      <c r="N811" s="64"/>
      <c r="O811" s="64"/>
      <c r="P811" s="64"/>
      <c r="Q811" s="64"/>
      <c r="R811" s="64"/>
      <c r="S811" s="68"/>
      <c r="T811" s="64"/>
      <c r="U811" s="64"/>
      <c r="V811" s="64"/>
      <c r="W811" s="64"/>
      <c r="X811" s="64"/>
      <c r="Y811" s="64"/>
      <c r="Z811" s="64"/>
      <c r="AA811" s="64"/>
      <c r="AB811" s="64"/>
      <c r="AC811" s="68"/>
      <c r="AD811" s="64"/>
    </row>
    <row r="812" ht="15.75" customHeight="1">
      <c r="A812" s="64"/>
      <c r="B812" s="64"/>
      <c r="C812" s="64"/>
      <c r="D812" s="64"/>
      <c r="E812" s="64"/>
      <c r="G812" s="68"/>
      <c r="H812" s="67"/>
      <c r="I812" s="64"/>
      <c r="J812" s="64"/>
      <c r="K812" s="64"/>
      <c r="L812" s="64"/>
      <c r="M812" s="64"/>
      <c r="N812" s="64"/>
      <c r="O812" s="64"/>
      <c r="P812" s="64"/>
      <c r="Q812" s="64"/>
      <c r="R812" s="64"/>
      <c r="S812" s="68"/>
      <c r="T812" s="64"/>
      <c r="U812" s="64"/>
      <c r="V812" s="64"/>
      <c r="W812" s="64"/>
      <c r="X812" s="64"/>
      <c r="Y812" s="64"/>
      <c r="Z812" s="64"/>
      <c r="AA812" s="64"/>
      <c r="AB812" s="64"/>
      <c r="AC812" s="68"/>
      <c r="AD812" s="64"/>
    </row>
    <row r="813" ht="15.75" customHeight="1">
      <c r="A813" s="64"/>
      <c r="B813" s="64"/>
      <c r="C813" s="64"/>
      <c r="D813" s="64"/>
      <c r="E813" s="64"/>
      <c r="G813" s="68"/>
      <c r="H813" s="67"/>
      <c r="I813" s="64"/>
      <c r="J813" s="64"/>
      <c r="K813" s="64"/>
      <c r="L813" s="64"/>
      <c r="M813" s="64"/>
      <c r="N813" s="64"/>
      <c r="O813" s="64"/>
      <c r="P813" s="64"/>
      <c r="Q813" s="64"/>
      <c r="R813" s="64"/>
      <c r="S813" s="68"/>
      <c r="T813" s="64"/>
      <c r="U813" s="64"/>
      <c r="V813" s="64"/>
      <c r="W813" s="64"/>
      <c r="X813" s="64"/>
      <c r="Y813" s="64"/>
      <c r="Z813" s="64"/>
      <c r="AA813" s="64"/>
      <c r="AB813" s="64"/>
      <c r="AC813" s="68"/>
      <c r="AD813" s="64"/>
    </row>
    <row r="814" ht="15.75" customHeight="1">
      <c r="A814" s="64"/>
      <c r="B814" s="64"/>
      <c r="C814" s="64"/>
      <c r="D814" s="64"/>
      <c r="E814" s="64"/>
      <c r="G814" s="68"/>
      <c r="H814" s="67"/>
      <c r="I814" s="64"/>
      <c r="J814" s="64"/>
      <c r="K814" s="64"/>
      <c r="L814" s="64"/>
      <c r="M814" s="64"/>
      <c r="N814" s="64"/>
      <c r="O814" s="64"/>
      <c r="P814" s="64"/>
      <c r="Q814" s="64"/>
      <c r="R814" s="64"/>
      <c r="S814" s="68"/>
      <c r="T814" s="64"/>
      <c r="U814" s="64"/>
      <c r="V814" s="64"/>
      <c r="W814" s="64"/>
      <c r="X814" s="64"/>
      <c r="Y814" s="64"/>
      <c r="Z814" s="64"/>
      <c r="AA814" s="64"/>
      <c r="AB814" s="64"/>
      <c r="AC814" s="68"/>
      <c r="AD814" s="64"/>
    </row>
    <row r="815" ht="15.75" customHeight="1">
      <c r="A815" s="64"/>
      <c r="B815" s="64"/>
      <c r="C815" s="64"/>
      <c r="D815" s="64"/>
      <c r="E815" s="64"/>
      <c r="G815" s="68"/>
      <c r="H815" s="67"/>
      <c r="I815" s="64"/>
      <c r="J815" s="64"/>
      <c r="K815" s="64"/>
      <c r="L815" s="64"/>
      <c r="M815" s="64"/>
      <c r="N815" s="64"/>
      <c r="O815" s="64"/>
      <c r="P815" s="64"/>
      <c r="Q815" s="64"/>
      <c r="R815" s="64"/>
      <c r="S815" s="68"/>
      <c r="T815" s="64"/>
      <c r="U815" s="64"/>
      <c r="V815" s="64"/>
      <c r="W815" s="64"/>
      <c r="X815" s="64"/>
      <c r="Y815" s="64"/>
      <c r="Z815" s="64"/>
      <c r="AA815" s="64"/>
      <c r="AB815" s="64"/>
      <c r="AC815" s="68"/>
      <c r="AD815" s="64"/>
    </row>
    <row r="816" ht="15.75" customHeight="1">
      <c r="A816" s="64"/>
      <c r="B816" s="64"/>
      <c r="C816" s="64"/>
      <c r="D816" s="64"/>
      <c r="E816" s="64"/>
      <c r="G816" s="68"/>
      <c r="H816" s="67"/>
      <c r="I816" s="64"/>
      <c r="J816" s="64"/>
      <c r="K816" s="64"/>
      <c r="L816" s="64"/>
      <c r="M816" s="64"/>
      <c r="N816" s="64"/>
      <c r="O816" s="64"/>
      <c r="P816" s="64"/>
      <c r="Q816" s="64"/>
      <c r="R816" s="64"/>
      <c r="S816" s="68"/>
      <c r="T816" s="64"/>
      <c r="U816" s="64"/>
      <c r="V816" s="64"/>
      <c r="W816" s="64"/>
      <c r="X816" s="64"/>
      <c r="Y816" s="64"/>
      <c r="Z816" s="64"/>
      <c r="AA816" s="64"/>
      <c r="AB816" s="64"/>
      <c r="AC816" s="68"/>
      <c r="AD816" s="64"/>
    </row>
    <row r="817" ht="15.75" customHeight="1">
      <c r="A817" s="64"/>
      <c r="B817" s="64"/>
      <c r="C817" s="64"/>
      <c r="D817" s="64"/>
      <c r="E817" s="64"/>
      <c r="G817" s="68"/>
      <c r="H817" s="67"/>
      <c r="I817" s="64"/>
      <c r="J817" s="64"/>
      <c r="K817" s="64"/>
      <c r="L817" s="64"/>
      <c r="M817" s="64"/>
      <c r="N817" s="64"/>
      <c r="O817" s="64"/>
      <c r="P817" s="64"/>
      <c r="Q817" s="64"/>
      <c r="R817" s="64"/>
      <c r="S817" s="68"/>
      <c r="T817" s="64"/>
      <c r="U817" s="64"/>
      <c r="V817" s="64"/>
      <c r="W817" s="64"/>
      <c r="X817" s="64"/>
      <c r="Y817" s="64"/>
      <c r="Z817" s="64"/>
      <c r="AA817" s="64"/>
      <c r="AB817" s="64"/>
      <c r="AC817" s="68"/>
      <c r="AD817" s="64"/>
    </row>
    <row r="818" ht="15.75" customHeight="1">
      <c r="A818" s="64"/>
      <c r="B818" s="64"/>
      <c r="C818" s="64"/>
      <c r="D818" s="64"/>
      <c r="E818" s="64"/>
      <c r="G818" s="68"/>
      <c r="H818" s="67"/>
      <c r="I818" s="64"/>
      <c r="J818" s="64"/>
      <c r="K818" s="64"/>
      <c r="L818" s="64"/>
      <c r="M818" s="64"/>
      <c r="N818" s="64"/>
      <c r="O818" s="64"/>
      <c r="P818" s="64"/>
      <c r="Q818" s="64"/>
      <c r="R818" s="64"/>
      <c r="S818" s="68"/>
      <c r="T818" s="64"/>
      <c r="U818" s="64"/>
      <c r="V818" s="64"/>
      <c r="W818" s="64"/>
      <c r="X818" s="64"/>
      <c r="Y818" s="64"/>
      <c r="Z818" s="64"/>
      <c r="AA818" s="64"/>
      <c r="AB818" s="64"/>
      <c r="AC818" s="68"/>
      <c r="AD818" s="64"/>
    </row>
    <row r="819" ht="15.75" customHeight="1">
      <c r="A819" s="64"/>
      <c r="B819" s="64"/>
      <c r="C819" s="64"/>
      <c r="D819" s="64"/>
      <c r="E819" s="64"/>
      <c r="G819" s="68"/>
      <c r="H819" s="67"/>
      <c r="I819" s="64"/>
      <c r="J819" s="64"/>
      <c r="K819" s="64"/>
      <c r="L819" s="64"/>
      <c r="M819" s="64"/>
      <c r="N819" s="64"/>
      <c r="O819" s="64"/>
      <c r="P819" s="64"/>
      <c r="Q819" s="64"/>
      <c r="R819" s="64"/>
      <c r="S819" s="68"/>
      <c r="T819" s="64"/>
      <c r="U819" s="64"/>
      <c r="V819" s="64"/>
      <c r="W819" s="64"/>
      <c r="X819" s="64"/>
      <c r="Y819" s="64"/>
      <c r="Z819" s="64"/>
      <c r="AA819" s="64"/>
      <c r="AB819" s="64"/>
      <c r="AC819" s="68"/>
      <c r="AD819" s="64"/>
    </row>
    <row r="820" ht="15.75" customHeight="1">
      <c r="A820" s="64"/>
      <c r="B820" s="64"/>
      <c r="C820" s="64"/>
      <c r="D820" s="64"/>
      <c r="E820" s="64"/>
      <c r="G820" s="68"/>
      <c r="H820" s="67"/>
      <c r="I820" s="64"/>
      <c r="J820" s="64"/>
      <c r="K820" s="64"/>
      <c r="L820" s="64"/>
      <c r="M820" s="64"/>
      <c r="N820" s="64"/>
      <c r="O820" s="64"/>
      <c r="P820" s="64"/>
      <c r="Q820" s="64"/>
      <c r="R820" s="64"/>
      <c r="S820" s="68"/>
      <c r="T820" s="64"/>
      <c r="U820" s="64"/>
      <c r="V820" s="64"/>
      <c r="W820" s="64"/>
      <c r="X820" s="64"/>
      <c r="Y820" s="64"/>
      <c r="Z820" s="64"/>
      <c r="AA820" s="64"/>
      <c r="AB820" s="64"/>
      <c r="AC820" s="68"/>
      <c r="AD820" s="64"/>
    </row>
    <row r="821" ht="15.75" customHeight="1">
      <c r="A821" s="64"/>
      <c r="B821" s="64"/>
      <c r="C821" s="64"/>
      <c r="D821" s="64"/>
      <c r="E821" s="64"/>
      <c r="G821" s="68"/>
      <c r="H821" s="67"/>
      <c r="I821" s="64"/>
      <c r="J821" s="64"/>
      <c r="K821" s="64"/>
      <c r="L821" s="64"/>
      <c r="M821" s="64"/>
      <c r="N821" s="64"/>
      <c r="O821" s="64"/>
      <c r="P821" s="64"/>
      <c r="Q821" s="64"/>
      <c r="R821" s="64"/>
      <c r="S821" s="68"/>
      <c r="T821" s="64"/>
      <c r="U821" s="64"/>
      <c r="V821" s="64"/>
      <c r="W821" s="64"/>
      <c r="X821" s="64"/>
      <c r="Y821" s="64"/>
      <c r="Z821" s="64"/>
      <c r="AA821" s="64"/>
      <c r="AB821" s="64"/>
      <c r="AC821" s="68"/>
      <c r="AD821" s="64"/>
    </row>
    <row r="822" ht="15.75" customHeight="1">
      <c r="A822" s="64"/>
      <c r="B822" s="64"/>
      <c r="C822" s="64"/>
      <c r="D822" s="64"/>
      <c r="E822" s="64"/>
      <c r="G822" s="68"/>
      <c r="H822" s="67"/>
      <c r="I822" s="64"/>
      <c r="J822" s="64"/>
      <c r="K822" s="64"/>
      <c r="L822" s="64"/>
      <c r="M822" s="64"/>
      <c r="N822" s="64"/>
      <c r="O822" s="64"/>
      <c r="P822" s="64"/>
      <c r="Q822" s="64"/>
      <c r="R822" s="64"/>
      <c r="S822" s="68"/>
      <c r="T822" s="64"/>
      <c r="U822" s="64"/>
      <c r="V822" s="64"/>
      <c r="W822" s="64"/>
      <c r="X822" s="64"/>
      <c r="Y822" s="64"/>
      <c r="Z822" s="64"/>
      <c r="AA822" s="64"/>
      <c r="AB822" s="64"/>
      <c r="AC822" s="68"/>
      <c r="AD822" s="64"/>
    </row>
    <row r="823" ht="15.75" customHeight="1">
      <c r="A823" s="64"/>
      <c r="B823" s="64"/>
      <c r="C823" s="64"/>
      <c r="D823" s="64"/>
      <c r="E823" s="64"/>
      <c r="G823" s="68"/>
      <c r="H823" s="67"/>
      <c r="I823" s="64"/>
      <c r="J823" s="64"/>
      <c r="K823" s="64"/>
      <c r="L823" s="64"/>
      <c r="M823" s="64"/>
      <c r="N823" s="64"/>
      <c r="O823" s="64"/>
      <c r="P823" s="64"/>
      <c r="Q823" s="64"/>
      <c r="R823" s="64"/>
      <c r="S823" s="68"/>
      <c r="T823" s="64"/>
      <c r="U823" s="64"/>
      <c r="V823" s="64"/>
      <c r="W823" s="64"/>
      <c r="X823" s="64"/>
      <c r="Y823" s="64"/>
      <c r="Z823" s="64"/>
      <c r="AA823" s="64"/>
      <c r="AB823" s="64"/>
      <c r="AC823" s="68"/>
      <c r="AD823" s="64"/>
    </row>
    <row r="824" ht="15.75" customHeight="1">
      <c r="A824" s="64"/>
      <c r="B824" s="64"/>
      <c r="C824" s="64"/>
      <c r="D824" s="64"/>
      <c r="E824" s="64"/>
      <c r="G824" s="68"/>
      <c r="H824" s="67"/>
      <c r="I824" s="64"/>
      <c r="J824" s="64"/>
      <c r="K824" s="64"/>
      <c r="L824" s="64"/>
      <c r="M824" s="64"/>
      <c r="N824" s="64"/>
      <c r="O824" s="64"/>
      <c r="P824" s="64"/>
      <c r="Q824" s="64"/>
      <c r="R824" s="64"/>
      <c r="S824" s="68"/>
      <c r="T824" s="64"/>
      <c r="U824" s="64"/>
      <c r="V824" s="64"/>
      <c r="W824" s="64"/>
      <c r="X824" s="64"/>
      <c r="Y824" s="64"/>
      <c r="Z824" s="64"/>
      <c r="AA824" s="64"/>
      <c r="AB824" s="64"/>
      <c r="AC824" s="68"/>
      <c r="AD824" s="64"/>
    </row>
    <row r="825" ht="15.75" customHeight="1">
      <c r="A825" s="64"/>
      <c r="B825" s="64"/>
      <c r="C825" s="64"/>
      <c r="D825" s="64"/>
      <c r="E825" s="64"/>
      <c r="G825" s="68"/>
      <c r="H825" s="67"/>
      <c r="I825" s="64"/>
      <c r="J825" s="64"/>
      <c r="K825" s="64"/>
      <c r="L825" s="64"/>
      <c r="M825" s="64"/>
      <c r="N825" s="64"/>
      <c r="O825" s="64"/>
      <c r="P825" s="64"/>
      <c r="Q825" s="64"/>
      <c r="R825" s="64"/>
      <c r="S825" s="68"/>
      <c r="T825" s="64"/>
      <c r="U825" s="64"/>
      <c r="V825" s="64"/>
      <c r="W825" s="64"/>
      <c r="X825" s="64"/>
      <c r="Y825" s="64"/>
      <c r="Z825" s="64"/>
      <c r="AA825" s="64"/>
      <c r="AB825" s="64"/>
      <c r="AC825" s="68"/>
      <c r="AD825" s="64"/>
    </row>
    <row r="826" ht="15.75" customHeight="1">
      <c r="A826" s="64"/>
      <c r="B826" s="64"/>
      <c r="C826" s="64"/>
      <c r="D826" s="64"/>
      <c r="E826" s="64"/>
      <c r="G826" s="68"/>
      <c r="H826" s="67"/>
      <c r="I826" s="64"/>
      <c r="J826" s="64"/>
      <c r="K826" s="64"/>
      <c r="L826" s="64"/>
      <c r="M826" s="64"/>
      <c r="N826" s="64"/>
      <c r="O826" s="64"/>
      <c r="P826" s="64"/>
      <c r="Q826" s="64"/>
      <c r="R826" s="64"/>
      <c r="S826" s="68"/>
      <c r="T826" s="64"/>
      <c r="U826" s="64"/>
      <c r="V826" s="64"/>
      <c r="W826" s="64"/>
      <c r="X826" s="64"/>
      <c r="Y826" s="64"/>
      <c r="Z826" s="64"/>
      <c r="AA826" s="64"/>
      <c r="AB826" s="64"/>
      <c r="AC826" s="68"/>
      <c r="AD826" s="64"/>
    </row>
    <row r="827" ht="15.75" customHeight="1">
      <c r="A827" s="64"/>
      <c r="B827" s="64"/>
      <c r="C827" s="64"/>
      <c r="D827" s="64"/>
      <c r="E827" s="64"/>
      <c r="G827" s="68"/>
      <c r="H827" s="67"/>
      <c r="I827" s="64"/>
      <c r="J827" s="64"/>
      <c r="K827" s="64"/>
      <c r="L827" s="64"/>
      <c r="M827" s="64"/>
      <c r="N827" s="64"/>
      <c r="O827" s="64"/>
      <c r="P827" s="64"/>
      <c r="Q827" s="64"/>
      <c r="R827" s="64"/>
      <c r="S827" s="68"/>
      <c r="T827" s="64"/>
      <c r="U827" s="64"/>
      <c r="V827" s="64"/>
      <c r="W827" s="64"/>
      <c r="X827" s="64"/>
      <c r="Y827" s="64"/>
      <c r="Z827" s="64"/>
      <c r="AA827" s="64"/>
      <c r="AB827" s="64"/>
      <c r="AC827" s="68"/>
      <c r="AD827" s="64"/>
    </row>
    <row r="828" ht="15.75" customHeight="1">
      <c r="A828" s="64"/>
      <c r="B828" s="64"/>
      <c r="C828" s="64"/>
      <c r="D828" s="64"/>
      <c r="E828" s="64"/>
      <c r="G828" s="68"/>
      <c r="H828" s="67"/>
      <c r="I828" s="64"/>
      <c r="J828" s="64"/>
      <c r="K828" s="64"/>
      <c r="L828" s="64"/>
      <c r="M828" s="64"/>
      <c r="N828" s="64"/>
      <c r="O828" s="64"/>
      <c r="P828" s="64"/>
      <c r="Q828" s="64"/>
      <c r="R828" s="64"/>
      <c r="S828" s="68"/>
      <c r="T828" s="64"/>
      <c r="U828" s="64"/>
      <c r="V828" s="64"/>
      <c r="W828" s="64"/>
      <c r="X828" s="64"/>
      <c r="Y828" s="64"/>
      <c r="Z828" s="64"/>
      <c r="AA828" s="64"/>
      <c r="AB828" s="64"/>
      <c r="AC828" s="68"/>
      <c r="AD828" s="64"/>
    </row>
    <row r="829" ht="15.75" customHeight="1">
      <c r="A829" s="64"/>
      <c r="B829" s="64"/>
      <c r="C829" s="64"/>
      <c r="D829" s="64"/>
      <c r="E829" s="64"/>
      <c r="G829" s="68"/>
      <c r="H829" s="67"/>
      <c r="I829" s="64"/>
      <c r="J829" s="64"/>
      <c r="K829" s="64"/>
      <c r="L829" s="64"/>
      <c r="M829" s="64"/>
      <c r="N829" s="64"/>
      <c r="O829" s="64"/>
      <c r="P829" s="64"/>
      <c r="Q829" s="64"/>
      <c r="R829" s="64"/>
      <c r="S829" s="68"/>
      <c r="T829" s="64"/>
      <c r="U829" s="64"/>
      <c r="V829" s="64"/>
      <c r="W829" s="64"/>
      <c r="X829" s="64"/>
      <c r="Y829" s="64"/>
      <c r="Z829" s="64"/>
      <c r="AA829" s="64"/>
      <c r="AB829" s="64"/>
      <c r="AC829" s="68"/>
      <c r="AD829" s="64"/>
    </row>
    <row r="830" ht="15.75" customHeight="1">
      <c r="A830" s="64"/>
      <c r="B830" s="64"/>
      <c r="C830" s="64"/>
      <c r="D830" s="64"/>
      <c r="E830" s="64"/>
      <c r="G830" s="68"/>
      <c r="H830" s="67"/>
      <c r="I830" s="64"/>
      <c r="J830" s="64"/>
      <c r="K830" s="64"/>
      <c r="L830" s="64"/>
      <c r="M830" s="64"/>
      <c r="N830" s="64"/>
      <c r="O830" s="64"/>
      <c r="P830" s="64"/>
      <c r="Q830" s="64"/>
      <c r="R830" s="64"/>
      <c r="S830" s="68"/>
      <c r="T830" s="64"/>
      <c r="U830" s="64"/>
      <c r="V830" s="64"/>
      <c r="W830" s="64"/>
      <c r="X830" s="64"/>
      <c r="Y830" s="64"/>
      <c r="Z830" s="64"/>
      <c r="AA830" s="64"/>
      <c r="AB830" s="64"/>
      <c r="AC830" s="68"/>
      <c r="AD830" s="64"/>
    </row>
    <row r="831" ht="15.75" customHeight="1">
      <c r="A831" s="64"/>
      <c r="B831" s="64"/>
      <c r="C831" s="64"/>
      <c r="D831" s="64"/>
      <c r="E831" s="64"/>
      <c r="G831" s="68"/>
      <c r="H831" s="67"/>
      <c r="I831" s="64"/>
      <c r="J831" s="64"/>
      <c r="K831" s="64"/>
      <c r="L831" s="64"/>
      <c r="M831" s="64"/>
      <c r="N831" s="64"/>
      <c r="O831" s="64"/>
      <c r="P831" s="64"/>
      <c r="Q831" s="64"/>
      <c r="R831" s="64"/>
      <c r="S831" s="68"/>
      <c r="T831" s="64"/>
      <c r="U831" s="64"/>
      <c r="V831" s="64"/>
      <c r="W831" s="64"/>
      <c r="X831" s="64"/>
      <c r="Y831" s="64"/>
      <c r="Z831" s="64"/>
      <c r="AA831" s="64"/>
      <c r="AB831" s="64"/>
      <c r="AC831" s="68"/>
      <c r="AD831" s="64"/>
    </row>
    <row r="832" ht="15.75" customHeight="1">
      <c r="A832" s="64"/>
      <c r="B832" s="64"/>
      <c r="C832" s="64"/>
      <c r="D832" s="64"/>
      <c r="E832" s="64"/>
      <c r="G832" s="68"/>
      <c r="H832" s="67"/>
      <c r="I832" s="64"/>
      <c r="J832" s="64"/>
      <c r="K832" s="64"/>
      <c r="L832" s="64"/>
      <c r="M832" s="64"/>
      <c r="N832" s="64"/>
      <c r="O832" s="64"/>
      <c r="P832" s="64"/>
      <c r="Q832" s="64"/>
      <c r="R832" s="64"/>
      <c r="S832" s="68"/>
      <c r="T832" s="64"/>
      <c r="U832" s="64"/>
      <c r="V832" s="64"/>
      <c r="W832" s="64"/>
      <c r="X832" s="64"/>
      <c r="Y832" s="64"/>
      <c r="Z832" s="64"/>
      <c r="AA832" s="64"/>
      <c r="AB832" s="64"/>
      <c r="AC832" s="68"/>
      <c r="AD832" s="64"/>
    </row>
    <row r="833" ht="15.75" customHeight="1">
      <c r="A833" s="64"/>
      <c r="B833" s="64"/>
      <c r="C833" s="64"/>
      <c r="D833" s="64"/>
      <c r="E833" s="64"/>
      <c r="G833" s="68"/>
      <c r="H833" s="67"/>
      <c r="I833" s="64"/>
      <c r="J833" s="64"/>
      <c r="K833" s="64"/>
      <c r="L833" s="64"/>
      <c r="M833" s="64"/>
      <c r="N833" s="64"/>
      <c r="O833" s="64"/>
      <c r="P833" s="64"/>
      <c r="Q833" s="64"/>
      <c r="R833" s="64"/>
      <c r="S833" s="68"/>
      <c r="T833" s="64"/>
      <c r="U833" s="64"/>
      <c r="V833" s="64"/>
      <c r="W833" s="64"/>
      <c r="X833" s="64"/>
      <c r="Y833" s="64"/>
      <c r="Z833" s="64"/>
      <c r="AA833" s="64"/>
      <c r="AB833" s="64"/>
      <c r="AC833" s="68"/>
      <c r="AD833" s="64"/>
    </row>
    <row r="834" ht="15.75" customHeight="1">
      <c r="A834" s="64"/>
      <c r="B834" s="64"/>
      <c r="C834" s="64"/>
      <c r="D834" s="64"/>
      <c r="E834" s="64"/>
      <c r="G834" s="68"/>
      <c r="H834" s="67"/>
      <c r="I834" s="64"/>
      <c r="J834" s="64"/>
      <c r="K834" s="64"/>
      <c r="L834" s="64"/>
      <c r="M834" s="64"/>
      <c r="N834" s="64"/>
      <c r="O834" s="64"/>
      <c r="P834" s="64"/>
      <c r="Q834" s="64"/>
      <c r="R834" s="64"/>
      <c r="S834" s="68"/>
      <c r="T834" s="64"/>
      <c r="U834" s="64"/>
      <c r="V834" s="64"/>
      <c r="W834" s="64"/>
      <c r="X834" s="64"/>
      <c r="Y834" s="64"/>
      <c r="Z834" s="64"/>
      <c r="AA834" s="64"/>
      <c r="AB834" s="64"/>
      <c r="AC834" s="68"/>
      <c r="AD834" s="64"/>
    </row>
    <row r="835" ht="15.75" customHeight="1">
      <c r="A835" s="64"/>
      <c r="B835" s="64"/>
      <c r="C835" s="64"/>
      <c r="D835" s="64"/>
      <c r="E835" s="64"/>
      <c r="G835" s="68"/>
      <c r="H835" s="67"/>
      <c r="I835" s="64"/>
      <c r="J835" s="64"/>
      <c r="K835" s="64"/>
      <c r="L835" s="64"/>
      <c r="M835" s="64"/>
      <c r="N835" s="64"/>
      <c r="O835" s="64"/>
      <c r="P835" s="64"/>
      <c r="Q835" s="64"/>
      <c r="R835" s="64"/>
      <c r="S835" s="68"/>
      <c r="T835" s="64"/>
      <c r="U835" s="64"/>
      <c r="V835" s="64"/>
      <c r="W835" s="64"/>
      <c r="X835" s="64"/>
      <c r="Y835" s="64"/>
      <c r="Z835" s="64"/>
      <c r="AA835" s="64"/>
      <c r="AB835" s="64"/>
      <c r="AC835" s="68"/>
      <c r="AD835" s="64"/>
    </row>
    <row r="836" ht="15.75" customHeight="1">
      <c r="A836" s="64"/>
      <c r="B836" s="64"/>
      <c r="C836" s="64"/>
      <c r="D836" s="64"/>
      <c r="E836" s="64"/>
      <c r="G836" s="68"/>
      <c r="H836" s="67"/>
      <c r="I836" s="64"/>
      <c r="J836" s="64"/>
      <c r="K836" s="64"/>
      <c r="L836" s="64"/>
      <c r="M836" s="64"/>
      <c r="N836" s="64"/>
      <c r="O836" s="64"/>
      <c r="P836" s="64"/>
      <c r="Q836" s="64"/>
      <c r="R836" s="64"/>
      <c r="S836" s="68"/>
      <c r="T836" s="64"/>
      <c r="U836" s="64"/>
      <c r="V836" s="64"/>
      <c r="W836" s="64"/>
      <c r="X836" s="64"/>
      <c r="Y836" s="64"/>
      <c r="Z836" s="64"/>
      <c r="AA836" s="64"/>
      <c r="AB836" s="64"/>
      <c r="AC836" s="68"/>
      <c r="AD836" s="64"/>
    </row>
    <row r="837" ht="15.75" customHeight="1">
      <c r="A837" s="64"/>
      <c r="B837" s="64"/>
      <c r="C837" s="64"/>
      <c r="D837" s="64"/>
      <c r="E837" s="64"/>
      <c r="G837" s="68"/>
      <c r="H837" s="67"/>
      <c r="I837" s="64"/>
      <c r="J837" s="64"/>
      <c r="K837" s="64"/>
      <c r="L837" s="64"/>
      <c r="M837" s="64"/>
      <c r="N837" s="64"/>
      <c r="O837" s="64"/>
      <c r="P837" s="64"/>
      <c r="Q837" s="64"/>
      <c r="R837" s="64"/>
      <c r="S837" s="68"/>
      <c r="T837" s="64"/>
      <c r="U837" s="64"/>
      <c r="V837" s="64"/>
      <c r="W837" s="64"/>
      <c r="X837" s="64"/>
      <c r="Y837" s="64"/>
      <c r="Z837" s="64"/>
      <c r="AA837" s="64"/>
      <c r="AB837" s="64"/>
      <c r="AC837" s="68"/>
      <c r="AD837" s="64"/>
    </row>
    <row r="838" ht="15.75" customHeight="1">
      <c r="A838" s="64"/>
      <c r="B838" s="64"/>
      <c r="C838" s="64"/>
      <c r="D838" s="64"/>
      <c r="E838" s="64"/>
      <c r="G838" s="68"/>
      <c r="H838" s="67"/>
      <c r="I838" s="64"/>
      <c r="J838" s="64"/>
      <c r="K838" s="64"/>
      <c r="L838" s="64"/>
      <c r="M838" s="64"/>
      <c r="N838" s="64"/>
      <c r="O838" s="64"/>
      <c r="P838" s="64"/>
      <c r="Q838" s="64"/>
      <c r="R838" s="64"/>
      <c r="S838" s="68"/>
      <c r="T838" s="64"/>
      <c r="U838" s="64"/>
      <c r="V838" s="64"/>
      <c r="W838" s="64"/>
      <c r="X838" s="64"/>
      <c r="Y838" s="64"/>
      <c r="Z838" s="64"/>
      <c r="AA838" s="64"/>
      <c r="AB838" s="64"/>
      <c r="AC838" s="68"/>
      <c r="AD838" s="64"/>
    </row>
    <row r="839" ht="15.75" customHeight="1">
      <c r="A839" s="64"/>
      <c r="B839" s="64"/>
      <c r="C839" s="64"/>
      <c r="D839" s="64"/>
      <c r="E839" s="64"/>
      <c r="G839" s="68"/>
      <c r="H839" s="67"/>
      <c r="I839" s="64"/>
      <c r="J839" s="64"/>
      <c r="K839" s="64"/>
      <c r="L839" s="64"/>
      <c r="M839" s="64"/>
      <c r="N839" s="64"/>
      <c r="O839" s="64"/>
      <c r="P839" s="64"/>
      <c r="Q839" s="64"/>
      <c r="R839" s="64"/>
      <c r="S839" s="68"/>
      <c r="T839" s="64"/>
      <c r="U839" s="64"/>
      <c r="V839" s="64"/>
      <c r="W839" s="64"/>
      <c r="X839" s="64"/>
      <c r="Y839" s="64"/>
      <c r="Z839" s="64"/>
      <c r="AA839" s="64"/>
      <c r="AB839" s="64"/>
      <c r="AC839" s="68"/>
      <c r="AD839" s="64"/>
    </row>
    <row r="840" ht="15.75" customHeight="1">
      <c r="A840" s="64"/>
      <c r="B840" s="64"/>
      <c r="C840" s="64"/>
      <c r="D840" s="64"/>
      <c r="E840" s="64"/>
      <c r="G840" s="68"/>
      <c r="H840" s="67"/>
      <c r="I840" s="64"/>
      <c r="J840" s="64"/>
      <c r="K840" s="64"/>
      <c r="L840" s="64"/>
      <c r="M840" s="64"/>
      <c r="N840" s="64"/>
      <c r="O840" s="64"/>
      <c r="P840" s="64"/>
      <c r="Q840" s="64"/>
      <c r="R840" s="64"/>
      <c r="S840" s="68"/>
      <c r="T840" s="64"/>
      <c r="U840" s="64"/>
      <c r="V840" s="64"/>
      <c r="W840" s="64"/>
      <c r="X840" s="64"/>
      <c r="Y840" s="64"/>
      <c r="Z840" s="64"/>
      <c r="AA840" s="64"/>
      <c r="AB840" s="64"/>
      <c r="AC840" s="68"/>
      <c r="AD840" s="64"/>
    </row>
    <row r="841" ht="15.75" customHeight="1">
      <c r="A841" s="64"/>
      <c r="B841" s="64"/>
      <c r="C841" s="64"/>
      <c r="D841" s="64"/>
      <c r="E841" s="64"/>
      <c r="G841" s="68"/>
      <c r="H841" s="67"/>
      <c r="I841" s="64"/>
      <c r="J841" s="64"/>
      <c r="K841" s="64"/>
      <c r="L841" s="64"/>
      <c r="M841" s="64"/>
      <c r="N841" s="64"/>
      <c r="O841" s="64"/>
      <c r="P841" s="64"/>
      <c r="Q841" s="64"/>
      <c r="R841" s="64"/>
      <c r="S841" s="68"/>
      <c r="T841" s="64"/>
      <c r="U841" s="64"/>
      <c r="V841" s="64"/>
      <c r="W841" s="64"/>
      <c r="X841" s="64"/>
      <c r="Y841" s="64"/>
      <c r="Z841" s="64"/>
      <c r="AA841" s="64"/>
      <c r="AB841" s="64"/>
      <c r="AC841" s="68"/>
      <c r="AD841" s="64"/>
    </row>
    <row r="842" ht="15.75" customHeight="1">
      <c r="A842" s="64"/>
      <c r="B842" s="64"/>
      <c r="C842" s="64"/>
      <c r="D842" s="64"/>
      <c r="E842" s="64"/>
      <c r="G842" s="68"/>
      <c r="H842" s="67"/>
      <c r="I842" s="64"/>
      <c r="J842" s="64"/>
      <c r="K842" s="64"/>
      <c r="L842" s="64"/>
      <c r="M842" s="64"/>
      <c r="N842" s="64"/>
      <c r="O842" s="64"/>
      <c r="P842" s="64"/>
      <c r="Q842" s="64"/>
      <c r="R842" s="64"/>
      <c r="S842" s="68"/>
      <c r="T842" s="64"/>
      <c r="U842" s="64"/>
      <c r="V842" s="64"/>
      <c r="W842" s="64"/>
      <c r="X842" s="64"/>
      <c r="Y842" s="64"/>
      <c r="Z842" s="64"/>
      <c r="AA842" s="64"/>
      <c r="AB842" s="64"/>
      <c r="AC842" s="68"/>
      <c r="AD842" s="64"/>
    </row>
    <row r="843" ht="15.75" customHeight="1">
      <c r="A843" s="64"/>
      <c r="B843" s="64"/>
      <c r="C843" s="64"/>
      <c r="D843" s="64"/>
      <c r="E843" s="64"/>
      <c r="G843" s="68"/>
      <c r="H843" s="67"/>
      <c r="I843" s="64"/>
      <c r="J843" s="64"/>
      <c r="K843" s="64"/>
      <c r="L843" s="64"/>
      <c r="M843" s="64"/>
      <c r="N843" s="64"/>
      <c r="O843" s="64"/>
      <c r="P843" s="64"/>
      <c r="Q843" s="64"/>
      <c r="R843" s="64"/>
      <c r="S843" s="68"/>
      <c r="T843" s="64"/>
      <c r="U843" s="64"/>
      <c r="V843" s="64"/>
      <c r="W843" s="64"/>
      <c r="X843" s="64"/>
      <c r="Y843" s="64"/>
      <c r="Z843" s="64"/>
      <c r="AA843" s="64"/>
      <c r="AB843" s="64"/>
      <c r="AC843" s="68"/>
      <c r="AD843" s="64"/>
    </row>
    <row r="844" ht="15.75" customHeight="1">
      <c r="A844" s="64"/>
      <c r="B844" s="64"/>
      <c r="C844" s="64"/>
      <c r="D844" s="64"/>
      <c r="E844" s="64"/>
      <c r="G844" s="68"/>
      <c r="H844" s="67"/>
      <c r="I844" s="64"/>
      <c r="J844" s="64"/>
      <c r="K844" s="64"/>
      <c r="L844" s="64"/>
      <c r="M844" s="64"/>
      <c r="N844" s="64"/>
      <c r="O844" s="64"/>
      <c r="P844" s="64"/>
      <c r="Q844" s="64"/>
      <c r="R844" s="64"/>
      <c r="S844" s="68"/>
      <c r="T844" s="64"/>
      <c r="U844" s="64"/>
      <c r="V844" s="64"/>
      <c r="W844" s="64"/>
      <c r="X844" s="64"/>
      <c r="Y844" s="64"/>
      <c r="Z844" s="64"/>
      <c r="AA844" s="64"/>
      <c r="AB844" s="64"/>
      <c r="AC844" s="68"/>
      <c r="AD844" s="64"/>
    </row>
    <row r="845" ht="15.75" customHeight="1">
      <c r="A845" s="64"/>
      <c r="B845" s="64"/>
      <c r="C845" s="64"/>
      <c r="D845" s="64"/>
      <c r="E845" s="64"/>
      <c r="G845" s="68"/>
      <c r="H845" s="67"/>
      <c r="I845" s="64"/>
      <c r="J845" s="64"/>
      <c r="K845" s="64"/>
      <c r="L845" s="64"/>
      <c r="M845" s="64"/>
      <c r="N845" s="64"/>
      <c r="O845" s="64"/>
      <c r="P845" s="64"/>
      <c r="Q845" s="64"/>
      <c r="R845" s="64"/>
      <c r="S845" s="68"/>
      <c r="T845" s="64"/>
      <c r="U845" s="64"/>
      <c r="V845" s="64"/>
      <c r="W845" s="64"/>
      <c r="X845" s="64"/>
      <c r="Y845" s="64"/>
      <c r="Z845" s="64"/>
      <c r="AA845" s="64"/>
      <c r="AB845" s="64"/>
      <c r="AC845" s="68"/>
      <c r="AD845" s="64"/>
    </row>
    <row r="846" ht="15.75" customHeight="1">
      <c r="A846" s="64"/>
      <c r="B846" s="64"/>
      <c r="C846" s="64"/>
      <c r="D846" s="64"/>
      <c r="E846" s="64"/>
      <c r="G846" s="68"/>
      <c r="H846" s="67"/>
      <c r="I846" s="64"/>
      <c r="J846" s="64"/>
      <c r="K846" s="64"/>
      <c r="L846" s="64"/>
      <c r="M846" s="64"/>
      <c r="N846" s="64"/>
      <c r="O846" s="64"/>
      <c r="P846" s="64"/>
      <c r="Q846" s="64"/>
      <c r="R846" s="64"/>
      <c r="S846" s="68"/>
      <c r="T846" s="64"/>
      <c r="U846" s="64"/>
      <c r="V846" s="64"/>
      <c r="W846" s="64"/>
      <c r="X846" s="64"/>
      <c r="Y846" s="64"/>
      <c r="Z846" s="64"/>
      <c r="AA846" s="64"/>
      <c r="AB846" s="64"/>
      <c r="AC846" s="68"/>
      <c r="AD846" s="64"/>
    </row>
    <row r="847" ht="15.75" customHeight="1">
      <c r="A847" s="64"/>
      <c r="B847" s="64"/>
      <c r="C847" s="64"/>
      <c r="D847" s="64"/>
      <c r="E847" s="64"/>
      <c r="G847" s="68"/>
      <c r="H847" s="67"/>
      <c r="I847" s="64"/>
      <c r="J847" s="64"/>
      <c r="K847" s="64"/>
      <c r="L847" s="64"/>
      <c r="M847" s="64"/>
      <c r="N847" s="64"/>
      <c r="O847" s="64"/>
      <c r="P847" s="64"/>
      <c r="Q847" s="64"/>
      <c r="R847" s="64"/>
      <c r="S847" s="68"/>
      <c r="T847" s="64"/>
      <c r="U847" s="64"/>
      <c r="V847" s="64"/>
      <c r="W847" s="64"/>
      <c r="X847" s="64"/>
      <c r="Y847" s="64"/>
      <c r="Z847" s="64"/>
      <c r="AA847" s="64"/>
      <c r="AB847" s="64"/>
      <c r="AC847" s="68"/>
      <c r="AD847" s="64"/>
    </row>
    <row r="848" ht="15.75" customHeight="1">
      <c r="A848" s="64"/>
      <c r="B848" s="64"/>
      <c r="C848" s="64"/>
      <c r="D848" s="64"/>
      <c r="E848" s="64"/>
      <c r="G848" s="68"/>
      <c r="H848" s="67"/>
      <c r="I848" s="64"/>
      <c r="J848" s="64"/>
      <c r="K848" s="64"/>
      <c r="L848" s="64"/>
      <c r="M848" s="64"/>
      <c r="N848" s="64"/>
      <c r="O848" s="64"/>
      <c r="P848" s="64"/>
      <c r="Q848" s="64"/>
      <c r="R848" s="64"/>
      <c r="S848" s="68"/>
      <c r="T848" s="64"/>
      <c r="U848" s="64"/>
      <c r="V848" s="64"/>
      <c r="W848" s="64"/>
      <c r="X848" s="64"/>
      <c r="Y848" s="64"/>
      <c r="Z848" s="64"/>
      <c r="AA848" s="64"/>
      <c r="AB848" s="64"/>
      <c r="AC848" s="68"/>
      <c r="AD848" s="64"/>
    </row>
    <row r="849" ht="15.75" customHeight="1">
      <c r="A849" s="64"/>
      <c r="B849" s="64"/>
      <c r="C849" s="64"/>
      <c r="D849" s="64"/>
      <c r="E849" s="64"/>
      <c r="G849" s="68"/>
      <c r="H849" s="67"/>
      <c r="I849" s="64"/>
      <c r="J849" s="64"/>
      <c r="K849" s="64"/>
      <c r="L849" s="64"/>
      <c r="M849" s="64"/>
      <c r="N849" s="64"/>
      <c r="O849" s="64"/>
      <c r="P849" s="64"/>
      <c r="Q849" s="64"/>
      <c r="R849" s="64"/>
      <c r="S849" s="68"/>
      <c r="T849" s="64"/>
      <c r="U849" s="64"/>
      <c r="V849" s="64"/>
      <c r="W849" s="64"/>
      <c r="X849" s="64"/>
      <c r="Y849" s="64"/>
      <c r="Z849" s="64"/>
      <c r="AA849" s="64"/>
      <c r="AB849" s="64"/>
      <c r="AC849" s="68"/>
      <c r="AD849" s="64"/>
    </row>
    <row r="850" ht="15.75" customHeight="1">
      <c r="A850" s="64"/>
      <c r="B850" s="64"/>
      <c r="C850" s="64"/>
      <c r="D850" s="64"/>
      <c r="E850" s="64"/>
      <c r="G850" s="68"/>
      <c r="H850" s="67"/>
      <c r="I850" s="64"/>
      <c r="J850" s="64"/>
      <c r="K850" s="64"/>
      <c r="L850" s="64"/>
      <c r="M850" s="64"/>
      <c r="N850" s="64"/>
      <c r="O850" s="64"/>
      <c r="P850" s="64"/>
      <c r="Q850" s="64"/>
      <c r="R850" s="64"/>
      <c r="S850" s="68"/>
      <c r="T850" s="64"/>
      <c r="U850" s="64"/>
      <c r="V850" s="64"/>
      <c r="W850" s="64"/>
      <c r="X850" s="64"/>
      <c r="Y850" s="64"/>
      <c r="Z850" s="64"/>
      <c r="AA850" s="64"/>
      <c r="AB850" s="64"/>
      <c r="AC850" s="68"/>
      <c r="AD850" s="64"/>
    </row>
    <row r="851" ht="15.75" customHeight="1">
      <c r="A851" s="64"/>
      <c r="B851" s="64"/>
      <c r="C851" s="64"/>
      <c r="D851" s="64"/>
      <c r="E851" s="64"/>
      <c r="G851" s="68"/>
      <c r="H851" s="67"/>
      <c r="I851" s="64"/>
      <c r="J851" s="64"/>
      <c r="K851" s="64"/>
      <c r="L851" s="64"/>
      <c r="M851" s="64"/>
      <c r="N851" s="64"/>
      <c r="O851" s="64"/>
      <c r="P851" s="64"/>
      <c r="Q851" s="64"/>
      <c r="R851" s="64"/>
      <c r="S851" s="68"/>
      <c r="T851" s="64"/>
      <c r="U851" s="64"/>
      <c r="V851" s="64"/>
      <c r="W851" s="64"/>
      <c r="X851" s="64"/>
      <c r="Y851" s="64"/>
      <c r="Z851" s="64"/>
      <c r="AA851" s="64"/>
      <c r="AB851" s="64"/>
      <c r="AC851" s="68"/>
      <c r="AD851" s="64"/>
    </row>
    <row r="852" ht="15.75" customHeight="1">
      <c r="A852" s="64"/>
      <c r="B852" s="64"/>
      <c r="C852" s="64"/>
      <c r="D852" s="64"/>
      <c r="E852" s="64"/>
      <c r="G852" s="68"/>
      <c r="H852" s="67"/>
      <c r="I852" s="64"/>
      <c r="J852" s="64"/>
      <c r="K852" s="64"/>
      <c r="L852" s="64"/>
      <c r="M852" s="64"/>
      <c r="N852" s="64"/>
      <c r="O852" s="64"/>
      <c r="P852" s="64"/>
      <c r="Q852" s="64"/>
      <c r="R852" s="64"/>
      <c r="S852" s="68"/>
      <c r="T852" s="64"/>
      <c r="U852" s="64"/>
      <c r="V852" s="64"/>
      <c r="W852" s="64"/>
      <c r="X852" s="64"/>
      <c r="Y852" s="64"/>
      <c r="Z852" s="64"/>
      <c r="AA852" s="64"/>
      <c r="AB852" s="64"/>
      <c r="AC852" s="68"/>
      <c r="AD852" s="64"/>
    </row>
    <row r="853" ht="15.75" customHeight="1">
      <c r="A853" s="64"/>
      <c r="B853" s="64"/>
      <c r="C853" s="64"/>
      <c r="D853" s="64"/>
      <c r="E853" s="64"/>
      <c r="G853" s="68"/>
      <c r="H853" s="67"/>
      <c r="I853" s="64"/>
      <c r="J853" s="64"/>
      <c r="K853" s="64"/>
      <c r="L853" s="64"/>
      <c r="M853" s="64"/>
      <c r="N853" s="64"/>
      <c r="O853" s="64"/>
      <c r="P853" s="64"/>
      <c r="Q853" s="64"/>
      <c r="R853" s="64"/>
      <c r="S853" s="68"/>
      <c r="T853" s="64"/>
      <c r="U853" s="64"/>
      <c r="V853" s="64"/>
      <c r="W853" s="64"/>
      <c r="X853" s="64"/>
      <c r="Y853" s="64"/>
      <c r="Z853" s="64"/>
      <c r="AA853" s="64"/>
      <c r="AB853" s="64"/>
      <c r="AC853" s="68"/>
      <c r="AD853" s="64"/>
    </row>
    <row r="854" ht="15.75" customHeight="1">
      <c r="A854" s="64"/>
      <c r="B854" s="64"/>
      <c r="C854" s="64"/>
      <c r="D854" s="64"/>
      <c r="E854" s="64"/>
      <c r="G854" s="68"/>
      <c r="H854" s="67"/>
      <c r="I854" s="64"/>
      <c r="J854" s="64"/>
      <c r="K854" s="64"/>
      <c r="L854" s="64"/>
      <c r="M854" s="64"/>
      <c r="N854" s="64"/>
      <c r="O854" s="64"/>
      <c r="P854" s="64"/>
      <c r="Q854" s="64"/>
      <c r="R854" s="64"/>
      <c r="S854" s="68"/>
      <c r="T854" s="64"/>
      <c r="U854" s="64"/>
      <c r="V854" s="64"/>
      <c r="W854" s="64"/>
      <c r="X854" s="64"/>
      <c r="Y854" s="64"/>
      <c r="Z854" s="64"/>
      <c r="AA854" s="64"/>
      <c r="AB854" s="64"/>
      <c r="AC854" s="68"/>
      <c r="AD854" s="64"/>
    </row>
    <row r="855" ht="15.75" customHeight="1">
      <c r="A855" s="64"/>
      <c r="B855" s="64"/>
      <c r="C855" s="64"/>
      <c r="D855" s="64"/>
      <c r="E855" s="64"/>
      <c r="G855" s="68"/>
      <c r="H855" s="67"/>
      <c r="I855" s="64"/>
      <c r="J855" s="64"/>
      <c r="K855" s="64"/>
      <c r="L855" s="64"/>
      <c r="M855" s="64"/>
      <c r="N855" s="64"/>
      <c r="O855" s="64"/>
      <c r="P855" s="64"/>
      <c r="Q855" s="64"/>
      <c r="R855" s="64"/>
      <c r="S855" s="68"/>
      <c r="T855" s="64"/>
      <c r="U855" s="64"/>
      <c r="V855" s="64"/>
      <c r="W855" s="64"/>
      <c r="X855" s="64"/>
      <c r="Y855" s="64"/>
      <c r="Z855" s="64"/>
      <c r="AA855" s="64"/>
      <c r="AB855" s="64"/>
      <c r="AC855" s="68"/>
      <c r="AD855" s="64"/>
    </row>
    <row r="856" ht="15.75" customHeight="1">
      <c r="A856" s="64"/>
      <c r="B856" s="64"/>
      <c r="C856" s="64"/>
      <c r="D856" s="64"/>
      <c r="E856" s="64"/>
      <c r="G856" s="68"/>
      <c r="H856" s="67"/>
      <c r="I856" s="64"/>
      <c r="J856" s="64"/>
      <c r="K856" s="64"/>
      <c r="L856" s="64"/>
      <c r="M856" s="64"/>
      <c r="N856" s="64"/>
      <c r="O856" s="64"/>
      <c r="P856" s="64"/>
      <c r="Q856" s="64"/>
      <c r="R856" s="64"/>
      <c r="S856" s="68"/>
      <c r="T856" s="64"/>
      <c r="U856" s="64"/>
      <c r="V856" s="64"/>
      <c r="W856" s="64"/>
      <c r="X856" s="64"/>
      <c r="Y856" s="64"/>
      <c r="Z856" s="64"/>
      <c r="AA856" s="64"/>
      <c r="AB856" s="64"/>
      <c r="AC856" s="68"/>
      <c r="AD856" s="64"/>
    </row>
    <row r="857" ht="15.75" customHeight="1">
      <c r="A857" s="64"/>
      <c r="B857" s="64"/>
      <c r="C857" s="64"/>
      <c r="D857" s="64"/>
      <c r="E857" s="64"/>
      <c r="G857" s="68"/>
      <c r="H857" s="67"/>
      <c r="I857" s="64"/>
      <c r="J857" s="64"/>
      <c r="K857" s="64"/>
      <c r="L857" s="64"/>
      <c r="M857" s="64"/>
      <c r="N857" s="64"/>
      <c r="O857" s="64"/>
      <c r="P857" s="64"/>
      <c r="Q857" s="64"/>
      <c r="R857" s="64"/>
      <c r="S857" s="68"/>
      <c r="T857" s="64"/>
      <c r="U857" s="64"/>
      <c r="V857" s="64"/>
      <c r="W857" s="64"/>
      <c r="X857" s="64"/>
      <c r="Y857" s="64"/>
      <c r="Z857" s="64"/>
      <c r="AA857" s="64"/>
      <c r="AB857" s="64"/>
      <c r="AC857" s="68"/>
      <c r="AD857" s="64"/>
    </row>
    <row r="858" ht="15.75" customHeight="1">
      <c r="A858" s="64"/>
      <c r="B858" s="64"/>
      <c r="C858" s="64"/>
      <c r="D858" s="64"/>
      <c r="E858" s="64"/>
      <c r="G858" s="68"/>
      <c r="H858" s="67"/>
      <c r="I858" s="64"/>
      <c r="J858" s="64"/>
      <c r="K858" s="64"/>
      <c r="L858" s="64"/>
      <c r="M858" s="64"/>
      <c r="N858" s="64"/>
      <c r="O858" s="64"/>
      <c r="P858" s="64"/>
      <c r="Q858" s="64"/>
      <c r="R858" s="64"/>
      <c r="S858" s="68"/>
      <c r="T858" s="64"/>
      <c r="U858" s="64"/>
      <c r="V858" s="64"/>
      <c r="W858" s="64"/>
      <c r="X858" s="64"/>
      <c r="Y858" s="64"/>
      <c r="Z858" s="64"/>
      <c r="AA858" s="64"/>
      <c r="AB858" s="64"/>
      <c r="AC858" s="68"/>
      <c r="AD858" s="64"/>
    </row>
    <row r="859" ht="15.75" customHeight="1">
      <c r="A859" s="64"/>
      <c r="B859" s="64"/>
      <c r="C859" s="64"/>
      <c r="D859" s="64"/>
      <c r="E859" s="64"/>
      <c r="G859" s="68"/>
      <c r="H859" s="67"/>
      <c r="I859" s="64"/>
      <c r="J859" s="64"/>
      <c r="K859" s="64"/>
      <c r="L859" s="64"/>
      <c r="M859" s="64"/>
      <c r="N859" s="64"/>
      <c r="O859" s="64"/>
      <c r="P859" s="64"/>
      <c r="Q859" s="64"/>
      <c r="R859" s="64"/>
      <c r="S859" s="68"/>
      <c r="T859" s="64"/>
      <c r="U859" s="64"/>
      <c r="V859" s="64"/>
      <c r="W859" s="64"/>
      <c r="X859" s="64"/>
      <c r="Y859" s="64"/>
      <c r="Z859" s="64"/>
      <c r="AA859" s="64"/>
      <c r="AB859" s="64"/>
      <c r="AC859" s="68"/>
      <c r="AD859" s="64"/>
    </row>
    <row r="860" ht="15.75" customHeight="1">
      <c r="A860" s="64"/>
      <c r="B860" s="64"/>
      <c r="C860" s="64"/>
      <c r="D860" s="64"/>
      <c r="E860" s="64"/>
      <c r="G860" s="68"/>
      <c r="H860" s="67"/>
      <c r="I860" s="64"/>
      <c r="J860" s="64"/>
      <c r="K860" s="64"/>
      <c r="L860" s="64"/>
      <c r="M860" s="64"/>
      <c r="N860" s="64"/>
      <c r="O860" s="64"/>
      <c r="P860" s="64"/>
      <c r="Q860" s="64"/>
      <c r="R860" s="64"/>
      <c r="S860" s="68"/>
      <c r="T860" s="64"/>
      <c r="U860" s="64"/>
      <c r="V860" s="64"/>
      <c r="W860" s="64"/>
      <c r="X860" s="64"/>
      <c r="Y860" s="64"/>
      <c r="Z860" s="64"/>
      <c r="AA860" s="64"/>
      <c r="AB860" s="64"/>
      <c r="AC860" s="68"/>
      <c r="AD860" s="64"/>
    </row>
    <row r="861" ht="15.75" customHeight="1">
      <c r="A861" s="64"/>
      <c r="B861" s="64"/>
      <c r="C861" s="64"/>
      <c r="D861" s="64"/>
      <c r="E861" s="64"/>
      <c r="G861" s="68"/>
      <c r="H861" s="67"/>
      <c r="I861" s="64"/>
      <c r="J861" s="64"/>
      <c r="K861" s="64"/>
      <c r="L861" s="64"/>
      <c r="M861" s="64"/>
      <c r="N861" s="64"/>
      <c r="O861" s="64"/>
      <c r="P861" s="64"/>
      <c r="Q861" s="64"/>
      <c r="R861" s="64"/>
      <c r="S861" s="68"/>
      <c r="T861" s="64"/>
      <c r="U861" s="64"/>
      <c r="V861" s="64"/>
      <c r="W861" s="64"/>
      <c r="X861" s="64"/>
      <c r="Y861" s="64"/>
      <c r="Z861" s="64"/>
      <c r="AA861" s="64"/>
      <c r="AB861" s="64"/>
      <c r="AC861" s="68"/>
      <c r="AD861" s="64"/>
    </row>
    <row r="862" ht="15.75" customHeight="1">
      <c r="A862" s="64"/>
      <c r="B862" s="64"/>
      <c r="C862" s="64"/>
      <c r="D862" s="64"/>
      <c r="E862" s="64"/>
      <c r="G862" s="68"/>
      <c r="H862" s="67"/>
      <c r="I862" s="64"/>
      <c r="J862" s="64"/>
      <c r="K862" s="64"/>
      <c r="L862" s="64"/>
      <c r="M862" s="64"/>
      <c r="N862" s="64"/>
      <c r="O862" s="64"/>
      <c r="P862" s="64"/>
      <c r="Q862" s="64"/>
      <c r="R862" s="64"/>
      <c r="S862" s="68"/>
      <c r="T862" s="64"/>
      <c r="U862" s="64"/>
      <c r="V862" s="64"/>
      <c r="W862" s="64"/>
      <c r="X862" s="64"/>
      <c r="Y862" s="64"/>
      <c r="Z862" s="64"/>
      <c r="AA862" s="64"/>
      <c r="AB862" s="64"/>
      <c r="AC862" s="68"/>
      <c r="AD862" s="64"/>
    </row>
    <row r="863" ht="15.75" customHeight="1">
      <c r="A863" s="64"/>
      <c r="B863" s="64"/>
      <c r="C863" s="64"/>
      <c r="D863" s="64"/>
      <c r="E863" s="64"/>
      <c r="G863" s="68"/>
      <c r="H863" s="67"/>
      <c r="I863" s="64"/>
      <c r="J863" s="64"/>
      <c r="K863" s="64"/>
      <c r="L863" s="64"/>
      <c r="M863" s="64"/>
      <c r="N863" s="64"/>
      <c r="O863" s="64"/>
      <c r="P863" s="64"/>
      <c r="Q863" s="64"/>
      <c r="R863" s="64"/>
      <c r="S863" s="68"/>
      <c r="T863" s="64"/>
      <c r="U863" s="64"/>
      <c r="V863" s="64"/>
      <c r="W863" s="64"/>
      <c r="X863" s="64"/>
      <c r="Y863" s="64"/>
      <c r="Z863" s="64"/>
      <c r="AA863" s="64"/>
      <c r="AB863" s="64"/>
      <c r="AC863" s="68"/>
      <c r="AD863" s="64"/>
    </row>
    <row r="864" ht="15.75" customHeight="1">
      <c r="A864" s="64"/>
      <c r="B864" s="64"/>
      <c r="C864" s="64"/>
      <c r="D864" s="64"/>
      <c r="E864" s="64"/>
      <c r="G864" s="68"/>
      <c r="H864" s="67"/>
      <c r="I864" s="64"/>
      <c r="J864" s="64"/>
      <c r="K864" s="64"/>
      <c r="L864" s="64"/>
      <c r="M864" s="64"/>
      <c r="N864" s="64"/>
      <c r="O864" s="64"/>
      <c r="P864" s="64"/>
      <c r="Q864" s="64"/>
      <c r="R864" s="64"/>
      <c r="S864" s="68"/>
      <c r="T864" s="64"/>
      <c r="U864" s="64"/>
      <c r="V864" s="64"/>
      <c r="W864" s="64"/>
      <c r="X864" s="64"/>
      <c r="Y864" s="64"/>
      <c r="Z864" s="64"/>
      <c r="AA864" s="64"/>
      <c r="AB864" s="64"/>
      <c r="AC864" s="68"/>
      <c r="AD864" s="64"/>
    </row>
    <row r="865" ht="15.75" customHeight="1">
      <c r="A865" s="64"/>
      <c r="B865" s="64"/>
      <c r="C865" s="64"/>
      <c r="D865" s="64"/>
      <c r="E865" s="64"/>
      <c r="G865" s="68"/>
      <c r="H865" s="67"/>
      <c r="I865" s="64"/>
      <c r="J865" s="64"/>
      <c r="K865" s="64"/>
      <c r="L865" s="64"/>
      <c r="M865" s="64"/>
      <c r="N865" s="64"/>
      <c r="O865" s="64"/>
      <c r="P865" s="64"/>
      <c r="Q865" s="64"/>
      <c r="R865" s="64"/>
      <c r="S865" s="68"/>
      <c r="T865" s="64"/>
      <c r="U865" s="64"/>
      <c r="V865" s="64"/>
      <c r="W865" s="64"/>
      <c r="X865" s="64"/>
      <c r="Y865" s="64"/>
      <c r="Z865" s="64"/>
      <c r="AA865" s="64"/>
      <c r="AB865" s="64"/>
      <c r="AC865" s="68"/>
      <c r="AD865" s="64"/>
    </row>
    <row r="866" ht="15.75" customHeight="1">
      <c r="A866" s="64"/>
      <c r="B866" s="64"/>
      <c r="C866" s="64"/>
      <c r="D866" s="64"/>
      <c r="E866" s="64"/>
      <c r="G866" s="68"/>
      <c r="H866" s="67"/>
      <c r="I866" s="64"/>
      <c r="J866" s="64"/>
      <c r="K866" s="64"/>
      <c r="L866" s="64"/>
      <c r="M866" s="64"/>
      <c r="N866" s="64"/>
      <c r="O866" s="64"/>
      <c r="P866" s="64"/>
      <c r="Q866" s="64"/>
      <c r="R866" s="64"/>
      <c r="S866" s="68"/>
      <c r="T866" s="64"/>
      <c r="U866" s="64"/>
      <c r="V866" s="64"/>
      <c r="W866" s="64"/>
      <c r="X866" s="64"/>
      <c r="Y866" s="64"/>
      <c r="Z866" s="64"/>
      <c r="AA866" s="64"/>
      <c r="AB866" s="64"/>
      <c r="AC866" s="68"/>
      <c r="AD866" s="64"/>
    </row>
    <row r="867" ht="15.75" customHeight="1">
      <c r="A867" s="64"/>
      <c r="B867" s="64"/>
      <c r="C867" s="64"/>
      <c r="D867" s="64"/>
      <c r="E867" s="64"/>
      <c r="G867" s="68"/>
      <c r="H867" s="67"/>
      <c r="I867" s="64"/>
      <c r="J867" s="64"/>
      <c r="K867" s="64"/>
      <c r="L867" s="64"/>
      <c r="M867" s="64"/>
      <c r="N867" s="64"/>
      <c r="O867" s="64"/>
      <c r="P867" s="64"/>
      <c r="Q867" s="64"/>
      <c r="R867" s="64"/>
      <c r="S867" s="68"/>
      <c r="T867" s="64"/>
      <c r="U867" s="64"/>
      <c r="V867" s="64"/>
      <c r="W867" s="64"/>
      <c r="X867" s="64"/>
      <c r="Y867" s="64"/>
      <c r="Z867" s="64"/>
      <c r="AA867" s="64"/>
      <c r="AB867" s="64"/>
      <c r="AC867" s="68"/>
      <c r="AD867" s="64"/>
    </row>
    <row r="868" ht="15.75" customHeight="1">
      <c r="A868" s="64"/>
      <c r="B868" s="64"/>
      <c r="C868" s="64"/>
      <c r="D868" s="64"/>
      <c r="E868" s="64"/>
      <c r="G868" s="68"/>
      <c r="H868" s="67"/>
      <c r="I868" s="64"/>
      <c r="J868" s="64"/>
      <c r="K868" s="64"/>
      <c r="L868" s="64"/>
      <c r="M868" s="64"/>
      <c r="N868" s="64"/>
      <c r="O868" s="64"/>
      <c r="P868" s="64"/>
      <c r="Q868" s="64"/>
      <c r="R868" s="64"/>
      <c r="S868" s="68"/>
      <c r="T868" s="64"/>
      <c r="U868" s="64"/>
      <c r="V868" s="64"/>
      <c r="W868" s="64"/>
      <c r="X868" s="64"/>
      <c r="Y868" s="64"/>
      <c r="Z868" s="64"/>
      <c r="AA868" s="64"/>
      <c r="AB868" s="64"/>
      <c r="AC868" s="68"/>
      <c r="AD868" s="64"/>
    </row>
    <row r="869" ht="15.75" customHeight="1">
      <c r="A869" s="64"/>
      <c r="B869" s="64"/>
      <c r="C869" s="64"/>
      <c r="D869" s="64"/>
      <c r="E869" s="64"/>
      <c r="G869" s="68"/>
      <c r="H869" s="67"/>
      <c r="I869" s="64"/>
      <c r="J869" s="64"/>
      <c r="K869" s="64"/>
      <c r="L869" s="64"/>
      <c r="M869" s="64"/>
      <c r="N869" s="64"/>
      <c r="O869" s="64"/>
      <c r="P869" s="64"/>
      <c r="Q869" s="64"/>
      <c r="R869" s="64"/>
      <c r="S869" s="68"/>
      <c r="T869" s="64"/>
      <c r="U869" s="64"/>
      <c r="V869" s="64"/>
      <c r="W869" s="64"/>
      <c r="X869" s="64"/>
      <c r="Y869" s="64"/>
      <c r="Z869" s="64"/>
      <c r="AA869" s="64"/>
      <c r="AB869" s="64"/>
      <c r="AC869" s="68"/>
      <c r="AD869" s="64"/>
    </row>
    <row r="870" ht="15.75" customHeight="1">
      <c r="A870" s="64"/>
      <c r="B870" s="64"/>
      <c r="C870" s="64"/>
      <c r="D870" s="64"/>
      <c r="E870" s="64"/>
      <c r="G870" s="68"/>
      <c r="H870" s="67"/>
      <c r="I870" s="64"/>
      <c r="J870" s="64"/>
      <c r="K870" s="64"/>
      <c r="L870" s="64"/>
      <c r="M870" s="64"/>
      <c r="N870" s="64"/>
      <c r="O870" s="64"/>
      <c r="P870" s="64"/>
      <c r="Q870" s="64"/>
      <c r="R870" s="64"/>
      <c r="S870" s="68"/>
      <c r="T870" s="64"/>
      <c r="U870" s="64"/>
      <c r="V870" s="64"/>
      <c r="W870" s="64"/>
      <c r="X870" s="64"/>
      <c r="Y870" s="64"/>
      <c r="Z870" s="64"/>
      <c r="AA870" s="64"/>
      <c r="AB870" s="64"/>
      <c r="AC870" s="68"/>
      <c r="AD870" s="64"/>
    </row>
    <row r="871" ht="15.75" customHeight="1">
      <c r="A871" s="64"/>
      <c r="B871" s="64"/>
      <c r="C871" s="64"/>
      <c r="D871" s="64"/>
      <c r="E871" s="64"/>
      <c r="G871" s="68"/>
      <c r="H871" s="67"/>
      <c r="I871" s="64"/>
      <c r="J871" s="64"/>
      <c r="K871" s="64"/>
      <c r="L871" s="64"/>
      <c r="M871" s="64"/>
      <c r="N871" s="64"/>
      <c r="O871" s="64"/>
      <c r="P871" s="64"/>
      <c r="Q871" s="64"/>
      <c r="R871" s="64"/>
      <c r="S871" s="68"/>
      <c r="T871" s="64"/>
      <c r="U871" s="64"/>
      <c r="V871" s="64"/>
      <c r="W871" s="64"/>
      <c r="X871" s="64"/>
      <c r="Y871" s="64"/>
      <c r="Z871" s="64"/>
      <c r="AA871" s="64"/>
      <c r="AB871" s="64"/>
      <c r="AC871" s="68"/>
      <c r="AD871" s="64"/>
    </row>
    <row r="872" ht="15.75" customHeight="1">
      <c r="A872" s="64"/>
      <c r="B872" s="64"/>
      <c r="C872" s="64"/>
      <c r="D872" s="64"/>
      <c r="E872" s="64"/>
      <c r="G872" s="68"/>
      <c r="H872" s="67"/>
      <c r="I872" s="64"/>
      <c r="J872" s="64"/>
      <c r="K872" s="64"/>
      <c r="L872" s="64"/>
      <c r="M872" s="64"/>
      <c r="N872" s="64"/>
      <c r="O872" s="64"/>
      <c r="P872" s="64"/>
      <c r="Q872" s="64"/>
      <c r="R872" s="64"/>
      <c r="S872" s="68"/>
      <c r="T872" s="64"/>
      <c r="U872" s="64"/>
      <c r="V872" s="64"/>
      <c r="W872" s="64"/>
      <c r="X872" s="64"/>
      <c r="Y872" s="64"/>
      <c r="Z872" s="64"/>
      <c r="AA872" s="64"/>
      <c r="AB872" s="64"/>
      <c r="AC872" s="68"/>
      <c r="AD872" s="64"/>
    </row>
    <row r="873" ht="15.75" customHeight="1">
      <c r="A873" s="64"/>
      <c r="B873" s="64"/>
      <c r="C873" s="64"/>
      <c r="D873" s="64"/>
      <c r="E873" s="64"/>
      <c r="G873" s="68"/>
      <c r="H873" s="67"/>
      <c r="I873" s="64"/>
      <c r="J873" s="64"/>
      <c r="K873" s="64"/>
      <c r="L873" s="64"/>
      <c r="M873" s="64"/>
      <c r="N873" s="64"/>
      <c r="O873" s="64"/>
      <c r="P873" s="64"/>
      <c r="Q873" s="64"/>
      <c r="R873" s="64"/>
      <c r="S873" s="68"/>
      <c r="T873" s="64"/>
      <c r="U873" s="64"/>
      <c r="V873" s="64"/>
      <c r="W873" s="64"/>
      <c r="X873" s="64"/>
      <c r="Y873" s="64"/>
      <c r="Z873" s="64"/>
      <c r="AA873" s="64"/>
      <c r="AB873" s="64"/>
      <c r="AC873" s="68"/>
      <c r="AD873" s="64"/>
    </row>
    <row r="874" ht="15.75" customHeight="1">
      <c r="A874" s="64"/>
      <c r="B874" s="64"/>
      <c r="C874" s="64"/>
      <c r="D874" s="64"/>
      <c r="E874" s="64"/>
      <c r="G874" s="68"/>
      <c r="H874" s="67"/>
      <c r="I874" s="64"/>
      <c r="J874" s="64"/>
      <c r="K874" s="64"/>
      <c r="L874" s="64"/>
      <c r="M874" s="64"/>
      <c r="N874" s="64"/>
      <c r="O874" s="64"/>
      <c r="P874" s="64"/>
      <c r="Q874" s="64"/>
      <c r="R874" s="64"/>
      <c r="S874" s="68"/>
      <c r="T874" s="64"/>
      <c r="U874" s="64"/>
      <c r="V874" s="64"/>
      <c r="W874" s="64"/>
      <c r="X874" s="64"/>
      <c r="Y874" s="64"/>
      <c r="Z874" s="64"/>
      <c r="AA874" s="64"/>
      <c r="AB874" s="64"/>
      <c r="AC874" s="68"/>
      <c r="AD874" s="64"/>
    </row>
    <row r="875" ht="15.75" customHeight="1">
      <c r="A875" s="64"/>
      <c r="B875" s="64"/>
      <c r="C875" s="64"/>
      <c r="D875" s="64"/>
      <c r="E875" s="64"/>
      <c r="G875" s="68"/>
      <c r="H875" s="67"/>
      <c r="I875" s="64"/>
      <c r="J875" s="64"/>
      <c r="K875" s="64"/>
      <c r="L875" s="64"/>
      <c r="M875" s="64"/>
      <c r="N875" s="64"/>
      <c r="O875" s="64"/>
      <c r="P875" s="64"/>
      <c r="Q875" s="64"/>
      <c r="R875" s="64"/>
      <c r="S875" s="68"/>
      <c r="T875" s="64"/>
      <c r="U875" s="64"/>
      <c r="V875" s="64"/>
      <c r="W875" s="64"/>
      <c r="X875" s="64"/>
      <c r="Y875" s="64"/>
      <c r="Z875" s="64"/>
      <c r="AA875" s="64"/>
      <c r="AB875" s="64"/>
      <c r="AC875" s="68"/>
      <c r="AD875" s="64"/>
    </row>
    <row r="876" ht="15.75" customHeight="1">
      <c r="A876" s="64"/>
      <c r="B876" s="64"/>
      <c r="C876" s="64"/>
      <c r="D876" s="64"/>
      <c r="E876" s="64"/>
      <c r="G876" s="68"/>
      <c r="H876" s="67"/>
      <c r="I876" s="64"/>
      <c r="J876" s="64"/>
      <c r="K876" s="64"/>
      <c r="L876" s="64"/>
      <c r="M876" s="64"/>
      <c r="N876" s="64"/>
      <c r="O876" s="64"/>
      <c r="P876" s="64"/>
      <c r="Q876" s="64"/>
      <c r="R876" s="64"/>
      <c r="S876" s="68"/>
      <c r="T876" s="64"/>
      <c r="U876" s="64"/>
      <c r="V876" s="64"/>
      <c r="W876" s="64"/>
      <c r="X876" s="64"/>
      <c r="Y876" s="64"/>
      <c r="Z876" s="64"/>
      <c r="AA876" s="64"/>
      <c r="AB876" s="64"/>
      <c r="AC876" s="68"/>
      <c r="AD876" s="64"/>
    </row>
    <row r="877" ht="15.75" customHeight="1">
      <c r="A877" s="64"/>
      <c r="B877" s="64"/>
      <c r="C877" s="64"/>
      <c r="D877" s="64"/>
      <c r="E877" s="64"/>
      <c r="G877" s="68"/>
      <c r="H877" s="67"/>
      <c r="I877" s="64"/>
      <c r="J877" s="64"/>
      <c r="K877" s="64"/>
      <c r="L877" s="64"/>
      <c r="M877" s="64"/>
      <c r="N877" s="64"/>
      <c r="O877" s="64"/>
      <c r="P877" s="64"/>
      <c r="Q877" s="64"/>
      <c r="R877" s="64"/>
      <c r="S877" s="68"/>
      <c r="T877" s="64"/>
      <c r="U877" s="64"/>
      <c r="V877" s="64"/>
      <c r="W877" s="64"/>
      <c r="X877" s="64"/>
      <c r="Y877" s="64"/>
      <c r="Z877" s="64"/>
      <c r="AA877" s="64"/>
      <c r="AB877" s="64"/>
      <c r="AC877" s="68"/>
      <c r="AD877" s="64"/>
    </row>
    <row r="878" ht="15.75" customHeight="1">
      <c r="A878" s="64"/>
      <c r="B878" s="64"/>
      <c r="C878" s="64"/>
      <c r="D878" s="64"/>
      <c r="E878" s="64"/>
      <c r="G878" s="68"/>
      <c r="H878" s="67"/>
      <c r="I878" s="64"/>
      <c r="J878" s="64"/>
      <c r="K878" s="64"/>
      <c r="L878" s="64"/>
      <c r="M878" s="64"/>
      <c r="N878" s="64"/>
      <c r="O878" s="64"/>
      <c r="P878" s="64"/>
      <c r="Q878" s="64"/>
      <c r="R878" s="64"/>
      <c r="S878" s="68"/>
      <c r="T878" s="64"/>
      <c r="U878" s="64"/>
      <c r="V878" s="64"/>
      <c r="W878" s="64"/>
      <c r="X878" s="64"/>
      <c r="Y878" s="64"/>
      <c r="Z878" s="64"/>
      <c r="AA878" s="64"/>
      <c r="AB878" s="64"/>
      <c r="AC878" s="68"/>
      <c r="AD878" s="64"/>
    </row>
    <row r="879" ht="15.75" customHeight="1">
      <c r="A879" s="64"/>
      <c r="B879" s="64"/>
      <c r="C879" s="64"/>
      <c r="D879" s="64"/>
      <c r="E879" s="64"/>
      <c r="G879" s="68"/>
      <c r="H879" s="67"/>
      <c r="I879" s="64"/>
      <c r="J879" s="64"/>
      <c r="K879" s="64"/>
      <c r="L879" s="64"/>
      <c r="M879" s="64"/>
      <c r="N879" s="64"/>
      <c r="O879" s="64"/>
      <c r="P879" s="64"/>
      <c r="Q879" s="64"/>
      <c r="R879" s="64"/>
      <c r="S879" s="68"/>
      <c r="T879" s="64"/>
      <c r="U879" s="64"/>
      <c r="V879" s="64"/>
      <c r="W879" s="64"/>
      <c r="X879" s="64"/>
      <c r="Y879" s="64"/>
      <c r="Z879" s="64"/>
      <c r="AA879" s="64"/>
      <c r="AB879" s="64"/>
      <c r="AC879" s="68"/>
      <c r="AD879" s="64"/>
    </row>
    <row r="880" ht="15.75" customHeight="1">
      <c r="A880" s="64"/>
      <c r="B880" s="64"/>
      <c r="C880" s="64"/>
      <c r="D880" s="64"/>
      <c r="E880" s="64"/>
      <c r="G880" s="68"/>
      <c r="H880" s="67"/>
      <c r="I880" s="64"/>
      <c r="J880" s="64"/>
      <c r="K880" s="64"/>
      <c r="L880" s="64"/>
      <c r="M880" s="64"/>
      <c r="N880" s="64"/>
      <c r="O880" s="64"/>
      <c r="P880" s="64"/>
      <c r="Q880" s="64"/>
      <c r="R880" s="64"/>
      <c r="S880" s="68"/>
      <c r="T880" s="64"/>
      <c r="U880" s="64"/>
      <c r="V880" s="64"/>
      <c r="W880" s="64"/>
      <c r="X880" s="64"/>
      <c r="Y880" s="64"/>
      <c r="Z880" s="64"/>
      <c r="AA880" s="64"/>
      <c r="AB880" s="64"/>
      <c r="AC880" s="68"/>
      <c r="AD880" s="64"/>
    </row>
    <row r="881" ht="15.75" customHeight="1">
      <c r="A881" s="64"/>
      <c r="B881" s="64"/>
      <c r="C881" s="64"/>
      <c r="D881" s="64"/>
      <c r="E881" s="64"/>
      <c r="G881" s="68"/>
      <c r="H881" s="67"/>
      <c r="I881" s="64"/>
      <c r="J881" s="64"/>
      <c r="K881" s="64"/>
      <c r="L881" s="64"/>
      <c r="M881" s="64"/>
      <c r="N881" s="64"/>
      <c r="O881" s="64"/>
      <c r="P881" s="64"/>
      <c r="Q881" s="64"/>
      <c r="R881" s="64"/>
      <c r="S881" s="68"/>
      <c r="T881" s="64"/>
      <c r="U881" s="64"/>
      <c r="V881" s="64"/>
      <c r="W881" s="64"/>
      <c r="X881" s="64"/>
      <c r="Y881" s="64"/>
      <c r="Z881" s="64"/>
      <c r="AA881" s="64"/>
      <c r="AB881" s="64"/>
      <c r="AC881" s="68"/>
      <c r="AD881" s="64"/>
    </row>
    <row r="882" ht="15.75" customHeight="1">
      <c r="A882" s="64"/>
      <c r="B882" s="64"/>
      <c r="C882" s="64"/>
      <c r="D882" s="64"/>
      <c r="E882" s="64"/>
      <c r="G882" s="68"/>
      <c r="H882" s="67"/>
      <c r="I882" s="64"/>
      <c r="J882" s="64"/>
      <c r="K882" s="64"/>
      <c r="L882" s="64"/>
      <c r="M882" s="64"/>
      <c r="N882" s="64"/>
      <c r="O882" s="64"/>
      <c r="P882" s="64"/>
      <c r="Q882" s="64"/>
      <c r="R882" s="64"/>
      <c r="S882" s="68"/>
      <c r="T882" s="64"/>
      <c r="U882" s="64"/>
      <c r="V882" s="64"/>
      <c r="W882" s="64"/>
      <c r="X882" s="64"/>
      <c r="Y882" s="64"/>
      <c r="Z882" s="64"/>
      <c r="AA882" s="64"/>
      <c r="AB882" s="64"/>
      <c r="AC882" s="68"/>
      <c r="AD882" s="64"/>
    </row>
    <row r="883" ht="15.75" customHeight="1">
      <c r="A883" s="64"/>
      <c r="B883" s="64"/>
      <c r="C883" s="64"/>
      <c r="D883" s="64"/>
      <c r="E883" s="64"/>
      <c r="G883" s="68"/>
      <c r="H883" s="67"/>
      <c r="I883" s="64"/>
      <c r="J883" s="64"/>
      <c r="K883" s="64"/>
      <c r="L883" s="64"/>
      <c r="M883" s="64"/>
      <c r="N883" s="64"/>
      <c r="O883" s="64"/>
      <c r="P883" s="64"/>
      <c r="Q883" s="64"/>
      <c r="R883" s="64"/>
      <c r="S883" s="68"/>
      <c r="T883" s="64"/>
      <c r="U883" s="64"/>
      <c r="V883" s="64"/>
      <c r="W883" s="64"/>
      <c r="X883" s="64"/>
      <c r="Y883" s="64"/>
      <c r="Z883" s="64"/>
      <c r="AA883" s="64"/>
      <c r="AB883" s="64"/>
      <c r="AC883" s="68"/>
      <c r="AD883" s="64"/>
    </row>
    <row r="884" ht="15.75" customHeight="1">
      <c r="A884" s="64"/>
      <c r="B884" s="64"/>
      <c r="C884" s="64"/>
      <c r="D884" s="64"/>
      <c r="E884" s="64"/>
      <c r="G884" s="68"/>
      <c r="H884" s="67"/>
      <c r="I884" s="64"/>
      <c r="J884" s="64"/>
      <c r="K884" s="64"/>
      <c r="L884" s="64"/>
      <c r="M884" s="64"/>
      <c r="N884" s="64"/>
      <c r="O884" s="64"/>
      <c r="P884" s="64"/>
      <c r="Q884" s="64"/>
      <c r="R884" s="64"/>
      <c r="S884" s="68"/>
      <c r="T884" s="64"/>
      <c r="U884" s="64"/>
      <c r="V884" s="64"/>
      <c r="W884" s="64"/>
      <c r="X884" s="64"/>
      <c r="Y884" s="64"/>
      <c r="Z884" s="64"/>
      <c r="AA884" s="64"/>
      <c r="AB884" s="64"/>
      <c r="AC884" s="68"/>
      <c r="AD884" s="64"/>
    </row>
    <row r="885" ht="15.75" customHeight="1">
      <c r="A885" s="64"/>
      <c r="B885" s="64"/>
      <c r="C885" s="64"/>
      <c r="D885" s="64"/>
      <c r="E885" s="64"/>
      <c r="G885" s="68"/>
      <c r="H885" s="67"/>
      <c r="I885" s="64"/>
      <c r="J885" s="64"/>
      <c r="K885" s="64"/>
      <c r="L885" s="64"/>
      <c r="M885" s="64"/>
      <c r="N885" s="64"/>
      <c r="O885" s="64"/>
      <c r="P885" s="64"/>
      <c r="Q885" s="64"/>
      <c r="R885" s="64"/>
      <c r="S885" s="68"/>
      <c r="T885" s="64"/>
      <c r="U885" s="64"/>
      <c r="V885" s="64"/>
      <c r="W885" s="64"/>
      <c r="X885" s="64"/>
      <c r="Y885" s="64"/>
      <c r="Z885" s="64"/>
      <c r="AA885" s="64"/>
      <c r="AB885" s="64"/>
      <c r="AC885" s="68"/>
      <c r="AD885" s="64"/>
    </row>
    <row r="886" ht="15.75" customHeight="1">
      <c r="A886" s="64"/>
      <c r="B886" s="64"/>
      <c r="C886" s="64"/>
      <c r="D886" s="64"/>
      <c r="E886" s="64"/>
      <c r="G886" s="68"/>
      <c r="H886" s="67"/>
      <c r="I886" s="64"/>
      <c r="J886" s="64"/>
      <c r="K886" s="64"/>
      <c r="L886" s="64"/>
      <c r="M886" s="64"/>
      <c r="N886" s="64"/>
      <c r="O886" s="64"/>
      <c r="P886" s="64"/>
      <c r="Q886" s="64"/>
      <c r="R886" s="64"/>
      <c r="S886" s="68"/>
      <c r="T886" s="64"/>
      <c r="U886" s="64"/>
      <c r="V886" s="64"/>
      <c r="W886" s="64"/>
      <c r="X886" s="64"/>
      <c r="Y886" s="64"/>
      <c r="Z886" s="64"/>
      <c r="AA886" s="64"/>
      <c r="AB886" s="64"/>
      <c r="AC886" s="68"/>
      <c r="AD886" s="64"/>
    </row>
    <row r="887" ht="15.75" customHeight="1">
      <c r="A887" s="64"/>
      <c r="B887" s="64"/>
      <c r="C887" s="64"/>
      <c r="D887" s="64"/>
      <c r="E887" s="64"/>
      <c r="G887" s="68"/>
      <c r="H887" s="67"/>
      <c r="I887" s="64"/>
      <c r="J887" s="64"/>
      <c r="K887" s="64"/>
      <c r="L887" s="64"/>
      <c r="M887" s="64"/>
      <c r="N887" s="64"/>
      <c r="O887" s="64"/>
      <c r="P887" s="64"/>
      <c r="Q887" s="64"/>
      <c r="R887" s="64"/>
      <c r="S887" s="68"/>
      <c r="T887" s="64"/>
      <c r="U887" s="64"/>
      <c r="V887" s="64"/>
      <c r="W887" s="64"/>
      <c r="X887" s="64"/>
      <c r="Y887" s="64"/>
      <c r="Z887" s="64"/>
      <c r="AA887" s="64"/>
      <c r="AB887" s="64"/>
      <c r="AC887" s="68"/>
      <c r="AD887" s="64"/>
    </row>
    <row r="888" ht="15.75" customHeight="1">
      <c r="A888" s="64"/>
      <c r="B888" s="64"/>
      <c r="C888" s="64"/>
      <c r="D888" s="64"/>
      <c r="E888" s="64"/>
      <c r="G888" s="68"/>
      <c r="H888" s="67"/>
      <c r="I888" s="64"/>
      <c r="J888" s="64"/>
      <c r="K888" s="64"/>
      <c r="L888" s="64"/>
      <c r="M888" s="64"/>
      <c r="N888" s="64"/>
      <c r="O888" s="64"/>
      <c r="P888" s="64"/>
      <c r="Q888" s="64"/>
      <c r="R888" s="64"/>
      <c r="S888" s="68"/>
      <c r="T888" s="64"/>
      <c r="U888" s="64"/>
      <c r="V888" s="64"/>
      <c r="W888" s="64"/>
      <c r="X888" s="64"/>
      <c r="Y888" s="64"/>
      <c r="Z888" s="64"/>
      <c r="AA888" s="64"/>
      <c r="AB888" s="64"/>
      <c r="AC888" s="68"/>
      <c r="AD888" s="64"/>
    </row>
    <row r="889" ht="15.75" customHeight="1">
      <c r="A889" s="64"/>
      <c r="B889" s="64"/>
      <c r="C889" s="64"/>
      <c r="D889" s="64"/>
      <c r="E889" s="64"/>
      <c r="G889" s="68"/>
      <c r="H889" s="67"/>
      <c r="I889" s="64"/>
      <c r="J889" s="64"/>
      <c r="K889" s="64"/>
      <c r="L889" s="64"/>
      <c r="M889" s="64"/>
      <c r="N889" s="64"/>
      <c r="O889" s="64"/>
      <c r="P889" s="64"/>
      <c r="Q889" s="64"/>
      <c r="R889" s="64"/>
      <c r="S889" s="68"/>
      <c r="T889" s="64"/>
      <c r="U889" s="64"/>
      <c r="V889" s="64"/>
      <c r="W889" s="64"/>
      <c r="X889" s="64"/>
      <c r="Y889" s="64"/>
      <c r="Z889" s="64"/>
      <c r="AA889" s="64"/>
      <c r="AB889" s="64"/>
      <c r="AC889" s="68"/>
      <c r="AD889" s="64"/>
    </row>
    <row r="890" ht="15.75" customHeight="1">
      <c r="A890" s="64"/>
      <c r="B890" s="64"/>
      <c r="C890" s="64"/>
      <c r="D890" s="64"/>
      <c r="E890" s="64"/>
      <c r="G890" s="68"/>
      <c r="H890" s="67"/>
      <c r="I890" s="64"/>
      <c r="J890" s="64"/>
      <c r="K890" s="64"/>
      <c r="L890" s="64"/>
      <c r="M890" s="64"/>
      <c r="N890" s="64"/>
      <c r="O890" s="64"/>
      <c r="P890" s="64"/>
      <c r="Q890" s="64"/>
      <c r="R890" s="64"/>
      <c r="S890" s="68"/>
      <c r="T890" s="64"/>
      <c r="U890" s="64"/>
      <c r="V890" s="64"/>
      <c r="W890" s="64"/>
      <c r="X890" s="64"/>
      <c r="Y890" s="64"/>
      <c r="Z890" s="64"/>
      <c r="AA890" s="64"/>
      <c r="AB890" s="64"/>
      <c r="AC890" s="68"/>
      <c r="AD890" s="64"/>
    </row>
    <row r="891" ht="15.75" customHeight="1">
      <c r="A891" s="64"/>
      <c r="B891" s="64"/>
      <c r="C891" s="64"/>
      <c r="D891" s="64"/>
      <c r="E891" s="64"/>
      <c r="G891" s="68"/>
      <c r="H891" s="67"/>
      <c r="I891" s="64"/>
      <c r="J891" s="64"/>
      <c r="K891" s="64"/>
      <c r="L891" s="64"/>
      <c r="M891" s="64"/>
      <c r="N891" s="64"/>
      <c r="O891" s="64"/>
      <c r="P891" s="64"/>
      <c r="Q891" s="64"/>
      <c r="R891" s="64"/>
      <c r="S891" s="68"/>
      <c r="T891" s="64"/>
      <c r="U891" s="64"/>
      <c r="V891" s="64"/>
      <c r="W891" s="64"/>
      <c r="X891" s="64"/>
      <c r="Y891" s="64"/>
      <c r="Z891" s="64"/>
      <c r="AA891" s="64"/>
      <c r="AB891" s="64"/>
      <c r="AC891" s="68"/>
      <c r="AD891" s="64"/>
    </row>
    <row r="892" ht="15.75" customHeight="1">
      <c r="A892" s="64"/>
      <c r="B892" s="64"/>
      <c r="C892" s="64"/>
      <c r="D892" s="64"/>
      <c r="E892" s="64"/>
      <c r="G892" s="68"/>
      <c r="H892" s="67"/>
      <c r="I892" s="64"/>
      <c r="J892" s="64"/>
      <c r="K892" s="64"/>
      <c r="L892" s="64"/>
      <c r="M892" s="64"/>
      <c r="N892" s="64"/>
      <c r="O892" s="64"/>
      <c r="P892" s="64"/>
      <c r="Q892" s="64"/>
      <c r="R892" s="64"/>
      <c r="S892" s="68"/>
      <c r="T892" s="64"/>
      <c r="U892" s="64"/>
      <c r="V892" s="64"/>
      <c r="W892" s="64"/>
      <c r="X892" s="64"/>
      <c r="Y892" s="64"/>
      <c r="Z892" s="64"/>
      <c r="AA892" s="64"/>
      <c r="AB892" s="64"/>
      <c r="AC892" s="68"/>
      <c r="AD892" s="64"/>
    </row>
    <row r="893" ht="15.75" customHeight="1">
      <c r="A893" s="64"/>
      <c r="B893" s="64"/>
      <c r="C893" s="64"/>
      <c r="D893" s="64"/>
      <c r="E893" s="64"/>
      <c r="G893" s="68"/>
      <c r="H893" s="67"/>
      <c r="I893" s="64"/>
      <c r="J893" s="64"/>
      <c r="K893" s="64"/>
      <c r="L893" s="64"/>
      <c r="M893" s="64"/>
      <c r="N893" s="64"/>
      <c r="O893" s="64"/>
      <c r="P893" s="64"/>
      <c r="Q893" s="64"/>
      <c r="R893" s="64"/>
      <c r="S893" s="68"/>
      <c r="T893" s="64"/>
      <c r="U893" s="64"/>
      <c r="V893" s="64"/>
      <c r="W893" s="64"/>
      <c r="X893" s="64"/>
      <c r="Y893" s="64"/>
      <c r="Z893" s="64"/>
      <c r="AA893" s="64"/>
      <c r="AB893" s="64"/>
      <c r="AC893" s="68"/>
      <c r="AD893" s="64"/>
    </row>
    <row r="894" ht="15.75" customHeight="1">
      <c r="A894" s="64"/>
      <c r="B894" s="64"/>
      <c r="C894" s="64"/>
      <c r="D894" s="64"/>
      <c r="E894" s="64"/>
      <c r="G894" s="68"/>
      <c r="H894" s="67"/>
      <c r="I894" s="64"/>
      <c r="J894" s="64"/>
      <c r="K894" s="64"/>
      <c r="L894" s="64"/>
      <c r="M894" s="64"/>
      <c r="N894" s="64"/>
      <c r="O894" s="64"/>
      <c r="P894" s="64"/>
      <c r="Q894" s="64"/>
      <c r="R894" s="64"/>
      <c r="S894" s="68"/>
      <c r="T894" s="64"/>
      <c r="U894" s="64"/>
      <c r="V894" s="64"/>
      <c r="W894" s="64"/>
      <c r="X894" s="64"/>
      <c r="Y894" s="64"/>
      <c r="Z894" s="64"/>
      <c r="AA894" s="64"/>
      <c r="AB894" s="64"/>
      <c r="AC894" s="68"/>
      <c r="AD894" s="64"/>
    </row>
    <row r="895" ht="15.75" customHeight="1">
      <c r="A895" s="64"/>
      <c r="B895" s="64"/>
      <c r="C895" s="64"/>
      <c r="D895" s="64"/>
      <c r="E895" s="64"/>
      <c r="G895" s="68"/>
      <c r="H895" s="67"/>
      <c r="I895" s="64"/>
      <c r="J895" s="64"/>
      <c r="K895" s="64"/>
      <c r="L895" s="64"/>
      <c r="M895" s="64"/>
      <c r="N895" s="64"/>
      <c r="O895" s="64"/>
      <c r="P895" s="64"/>
      <c r="Q895" s="64"/>
      <c r="R895" s="64"/>
      <c r="S895" s="68"/>
      <c r="T895" s="64"/>
      <c r="U895" s="64"/>
      <c r="V895" s="64"/>
      <c r="W895" s="64"/>
      <c r="X895" s="64"/>
      <c r="Y895" s="64"/>
      <c r="Z895" s="64"/>
      <c r="AA895" s="64"/>
      <c r="AB895" s="64"/>
      <c r="AC895" s="68"/>
      <c r="AD895" s="64"/>
    </row>
    <row r="896" ht="15.75" customHeight="1">
      <c r="A896" s="64"/>
      <c r="B896" s="64"/>
      <c r="C896" s="64"/>
      <c r="D896" s="64"/>
      <c r="E896" s="64"/>
      <c r="G896" s="68"/>
      <c r="H896" s="67"/>
      <c r="I896" s="64"/>
      <c r="J896" s="64"/>
      <c r="K896" s="64"/>
      <c r="L896" s="64"/>
      <c r="M896" s="64"/>
      <c r="N896" s="64"/>
      <c r="O896" s="64"/>
      <c r="P896" s="64"/>
      <c r="Q896" s="64"/>
      <c r="R896" s="64"/>
      <c r="S896" s="68"/>
      <c r="T896" s="64"/>
      <c r="U896" s="64"/>
      <c r="V896" s="64"/>
      <c r="W896" s="64"/>
      <c r="X896" s="64"/>
      <c r="Y896" s="64"/>
      <c r="Z896" s="64"/>
      <c r="AA896" s="64"/>
      <c r="AB896" s="64"/>
      <c r="AC896" s="68"/>
      <c r="AD896" s="64"/>
    </row>
    <row r="897" ht="15.75" customHeight="1">
      <c r="A897" s="64"/>
      <c r="B897" s="64"/>
      <c r="C897" s="64"/>
      <c r="D897" s="64"/>
      <c r="E897" s="64"/>
      <c r="G897" s="68"/>
      <c r="H897" s="67"/>
      <c r="I897" s="64"/>
      <c r="J897" s="64"/>
      <c r="K897" s="64"/>
      <c r="L897" s="64"/>
      <c r="M897" s="64"/>
      <c r="N897" s="64"/>
      <c r="O897" s="64"/>
      <c r="P897" s="64"/>
      <c r="Q897" s="64"/>
      <c r="R897" s="64"/>
      <c r="S897" s="68"/>
      <c r="T897" s="64"/>
      <c r="U897" s="64"/>
      <c r="V897" s="64"/>
      <c r="W897" s="64"/>
      <c r="X897" s="64"/>
      <c r="Y897" s="64"/>
      <c r="Z897" s="64"/>
      <c r="AA897" s="64"/>
      <c r="AB897" s="64"/>
      <c r="AC897" s="68"/>
      <c r="AD897" s="64"/>
    </row>
    <row r="898" ht="15.75" customHeight="1">
      <c r="A898" s="64"/>
      <c r="B898" s="64"/>
      <c r="C898" s="64"/>
      <c r="D898" s="64"/>
      <c r="E898" s="64"/>
      <c r="G898" s="68"/>
      <c r="H898" s="67"/>
      <c r="I898" s="64"/>
      <c r="J898" s="64"/>
      <c r="K898" s="64"/>
      <c r="L898" s="64"/>
      <c r="M898" s="64"/>
      <c r="N898" s="64"/>
      <c r="O898" s="64"/>
      <c r="P898" s="64"/>
      <c r="Q898" s="64"/>
      <c r="R898" s="64"/>
      <c r="S898" s="68"/>
      <c r="T898" s="64"/>
      <c r="U898" s="64"/>
      <c r="V898" s="64"/>
      <c r="W898" s="64"/>
      <c r="X898" s="64"/>
      <c r="Y898" s="64"/>
      <c r="Z898" s="64"/>
      <c r="AA898" s="64"/>
      <c r="AB898" s="64"/>
      <c r="AC898" s="68"/>
      <c r="AD898" s="64"/>
    </row>
    <row r="899" ht="15.75" customHeight="1">
      <c r="A899" s="64"/>
      <c r="B899" s="64"/>
      <c r="C899" s="64"/>
      <c r="D899" s="64"/>
      <c r="E899" s="64"/>
      <c r="G899" s="68"/>
      <c r="H899" s="67"/>
      <c r="I899" s="64"/>
      <c r="J899" s="64"/>
      <c r="K899" s="64"/>
      <c r="L899" s="64"/>
      <c r="M899" s="64"/>
      <c r="N899" s="64"/>
      <c r="O899" s="64"/>
      <c r="P899" s="64"/>
      <c r="Q899" s="64"/>
      <c r="R899" s="64"/>
      <c r="S899" s="68"/>
      <c r="T899" s="64"/>
      <c r="U899" s="64"/>
      <c r="V899" s="64"/>
      <c r="W899" s="64"/>
      <c r="X899" s="64"/>
      <c r="Y899" s="64"/>
      <c r="Z899" s="64"/>
      <c r="AA899" s="64"/>
      <c r="AB899" s="64"/>
      <c r="AC899" s="68"/>
      <c r="AD899" s="64"/>
    </row>
    <row r="900" ht="15.75" customHeight="1">
      <c r="A900" s="64"/>
      <c r="B900" s="64"/>
      <c r="C900" s="64"/>
      <c r="D900" s="64"/>
      <c r="E900" s="64"/>
      <c r="G900" s="68"/>
      <c r="H900" s="67"/>
      <c r="I900" s="64"/>
      <c r="J900" s="64"/>
      <c r="K900" s="64"/>
      <c r="L900" s="64"/>
      <c r="M900" s="64"/>
      <c r="N900" s="64"/>
      <c r="O900" s="64"/>
      <c r="P900" s="64"/>
      <c r="Q900" s="64"/>
      <c r="R900" s="64"/>
      <c r="S900" s="68"/>
      <c r="T900" s="64"/>
      <c r="U900" s="64"/>
      <c r="V900" s="64"/>
      <c r="W900" s="64"/>
      <c r="X900" s="64"/>
      <c r="Y900" s="64"/>
      <c r="Z900" s="64"/>
      <c r="AA900" s="64"/>
      <c r="AB900" s="64"/>
      <c r="AC900" s="68"/>
      <c r="AD900" s="64"/>
    </row>
    <row r="901" ht="15.75" customHeight="1">
      <c r="A901" s="64"/>
      <c r="B901" s="64"/>
      <c r="C901" s="64"/>
      <c r="D901" s="64"/>
      <c r="E901" s="64"/>
      <c r="G901" s="68"/>
      <c r="H901" s="67"/>
      <c r="I901" s="64"/>
      <c r="J901" s="64"/>
      <c r="K901" s="64"/>
      <c r="L901" s="64"/>
      <c r="M901" s="64"/>
      <c r="N901" s="64"/>
      <c r="O901" s="64"/>
      <c r="P901" s="64"/>
      <c r="Q901" s="64"/>
      <c r="R901" s="64"/>
      <c r="S901" s="68"/>
      <c r="T901" s="64"/>
      <c r="U901" s="64"/>
      <c r="V901" s="64"/>
      <c r="W901" s="64"/>
      <c r="X901" s="64"/>
      <c r="Y901" s="64"/>
      <c r="Z901" s="64"/>
      <c r="AA901" s="64"/>
      <c r="AB901" s="64"/>
      <c r="AC901" s="68"/>
      <c r="AD901" s="64"/>
    </row>
    <row r="902" ht="15.75" customHeight="1">
      <c r="A902" s="64"/>
      <c r="B902" s="64"/>
      <c r="C902" s="64"/>
      <c r="D902" s="64"/>
      <c r="E902" s="64"/>
      <c r="G902" s="68"/>
      <c r="H902" s="67"/>
      <c r="I902" s="64"/>
      <c r="J902" s="64"/>
      <c r="K902" s="64"/>
      <c r="L902" s="64"/>
      <c r="M902" s="64"/>
      <c r="N902" s="64"/>
      <c r="O902" s="64"/>
      <c r="P902" s="64"/>
      <c r="Q902" s="64"/>
      <c r="R902" s="64"/>
      <c r="S902" s="68"/>
      <c r="T902" s="64"/>
      <c r="U902" s="64"/>
      <c r="V902" s="64"/>
      <c r="W902" s="64"/>
      <c r="X902" s="64"/>
      <c r="Y902" s="64"/>
      <c r="Z902" s="64"/>
      <c r="AA902" s="64"/>
      <c r="AB902" s="64"/>
      <c r="AC902" s="68"/>
      <c r="AD902" s="64"/>
    </row>
    <row r="903" ht="15.75" customHeight="1">
      <c r="A903" s="64"/>
      <c r="B903" s="64"/>
      <c r="C903" s="64"/>
      <c r="D903" s="64"/>
      <c r="E903" s="64"/>
      <c r="G903" s="68"/>
      <c r="H903" s="67"/>
      <c r="I903" s="64"/>
      <c r="J903" s="64"/>
      <c r="K903" s="64"/>
      <c r="L903" s="64"/>
      <c r="M903" s="64"/>
      <c r="N903" s="64"/>
      <c r="O903" s="64"/>
      <c r="P903" s="64"/>
      <c r="Q903" s="64"/>
      <c r="R903" s="64"/>
      <c r="S903" s="68"/>
      <c r="T903" s="64"/>
      <c r="U903" s="64"/>
      <c r="V903" s="64"/>
      <c r="W903" s="64"/>
      <c r="X903" s="64"/>
      <c r="Y903" s="64"/>
      <c r="Z903" s="64"/>
      <c r="AA903" s="64"/>
      <c r="AB903" s="64"/>
      <c r="AC903" s="68"/>
      <c r="AD903" s="64"/>
    </row>
    <row r="904" ht="15.75" customHeight="1">
      <c r="A904" s="64"/>
      <c r="B904" s="64"/>
      <c r="C904" s="64"/>
      <c r="D904" s="64"/>
      <c r="E904" s="64"/>
      <c r="G904" s="68"/>
      <c r="H904" s="67"/>
      <c r="I904" s="64"/>
      <c r="J904" s="64"/>
      <c r="K904" s="64"/>
      <c r="L904" s="64"/>
      <c r="M904" s="64"/>
      <c r="N904" s="64"/>
      <c r="O904" s="64"/>
      <c r="P904" s="64"/>
      <c r="Q904" s="64"/>
      <c r="R904" s="64"/>
      <c r="S904" s="68"/>
      <c r="T904" s="64"/>
      <c r="U904" s="64"/>
      <c r="V904" s="64"/>
      <c r="W904" s="64"/>
      <c r="X904" s="64"/>
      <c r="Y904" s="64"/>
      <c r="Z904" s="64"/>
      <c r="AA904" s="64"/>
      <c r="AB904" s="64"/>
      <c r="AC904" s="68"/>
      <c r="AD904" s="64"/>
    </row>
    <row r="905" ht="15.75" customHeight="1">
      <c r="A905" s="64"/>
      <c r="B905" s="64"/>
      <c r="C905" s="64"/>
      <c r="D905" s="64"/>
      <c r="E905" s="64"/>
      <c r="G905" s="68"/>
      <c r="H905" s="67"/>
      <c r="I905" s="64"/>
      <c r="J905" s="64"/>
      <c r="K905" s="64"/>
      <c r="L905" s="64"/>
      <c r="M905" s="64"/>
      <c r="N905" s="64"/>
      <c r="O905" s="64"/>
      <c r="P905" s="64"/>
      <c r="Q905" s="64"/>
      <c r="R905" s="64"/>
      <c r="S905" s="68"/>
      <c r="T905" s="64"/>
      <c r="U905" s="64"/>
      <c r="V905" s="64"/>
      <c r="W905" s="64"/>
      <c r="X905" s="64"/>
      <c r="Y905" s="64"/>
      <c r="Z905" s="64"/>
      <c r="AA905" s="64"/>
      <c r="AB905" s="64"/>
      <c r="AC905" s="68"/>
      <c r="AD905" s="64"/>
    </row>
    <row r="906" ht="15.75" customHeight="1">
      <c r="A906" s="64"/>
      <c r="B906" s="64"/>
      <c r="C906" s="64"/>
      <c r="D906" s="64"/>
      <c r="E906" s="64"/>
      <c r="G906" s="68"/>
      <c r="H906" s="67"/>
      <c r="I906" s="64"/>
      <c r="J906" s="64"/>
      <c r="K906" s="64"/>
      <c r="L906" s="64"/>
      <c r="M906" s="64"/>
      <c r="N906" s="64"/>
      <c r="O906" s="64"/>
      <c r="P906" s="64"/>
      <c r="Q906" s="64"/>
      <c r="R906" s="64"/>
      <c r="S906" s="68"/>
      <c r="T906" s="64"/>
      <c r="U906" s="64"/>
      <c r="V906" s="64"/>
      <c r="W906" s="64"/>
      <c r="X906" s="64"/>
      <c r="Y906" s="64"/>
      <c r="Z906" s="64"/>
      <c r="AA906" s="64"/>
      <c r="AB906" s="64"/>
      <c r="AC906" s="68"/>
      <c r="AD906" s="64"/>
    </row>
    <row r="907" ht="15.75" customHeight="1">
      <c r="A907" s="64"/>
      <c r="B907" s="64"/>
      <c r="C907" s="64"/>
      <c r="D907" s="64"/>
      <c r="E907" s="64"/>
      <c r="G907" s="68"/>
      <c r="H907" s="67"/>
      <c r="I907" s="64"/>
      <c r="J907" s="64"/>
      <c r="K907" s="64"/>
      <c r="L907" s="64"/>
      <c r="M907" s="64"/>
      <c r="N907" s="64"/>
      <c r="O907" s="64"/>
      <c r="P907" s="64"/>
      <c r="Q907" s="64"/>
      <c r="R907" s="64"/>
      <c r="S907" s="68"/>
      <c r="T907" s="64"/>
      <c r="U907" s="64"/>
      <c r="V907" s="64"/>
      <c r="W907" s="64"/>
      <c r="X907" s="64"/>
      <c r="Y907" s="64"/>
      <c r="Z907" s="64"/>
      <c r="AA907" s="64"/>
      <c r="AB907" s="64"/>
      <c r="AC907" s="68"/>
      <c r="AD907" s="64"/>
    </row>
    <row r="908" ht="15.75" customHeight="1">
      <c r="A908" s="64"/>
      <c r="B908" s="64"/>
      <c r="C908" s="64"/>
      <c r="D908" s="64"/>
      <c r="E908" s="64"/>
      <c r="G908" s="68"/>
      <c r="H908" s="67"/>
      <c r="I908" s="64"/>
      <c r="J908" s="64"/>
      <c r="K908" s="64"/>
      <c r="L908" s="64"/>
      <c r="M908" s="64"/>
      <c r="N908" s="64"/>
      <c r="O908" s="64"/>
      <c r="P908" s="64"/>
      <c r="Q908" s="64"/>
      <c r="R908" s="64"/>
      <c r="S908" s="68"/>
      <c r="T908" s="64"/>
      <c r="U908" s="64"/>
      <c r="V908" s="64"/>
      <c r="W908" s="64"/>
      <c r="X908" s="64"/>
      <c r="Y908" s="64"/>
      <c r="Z908" s="64"/>
      <c r="AA908" s="64"/>
      <c r="AB908" s="64"/>
      <c r="AC908" s="68"/>
      <c r="AD908" s="64"/>
    </row>
    <row r="909" ht="15.75" customHeight="1">
      <c r="A909" s="64"/>
      <c r="B909" s="64"/>
      <c r="C909" s="64"/>
      <c r="D909" s="64"/>
      <c r="E909" s="64"/>
      <c r="G909" s="68"/>
      <c r="H909" s="67"/>
      <c r="I909" s="64"/>
      <c r="J909" s="64"/>
      <c r="K909" s="64"/>
      <c r="L909" s="64"/>
      <c r="M909" s="64"/>
      <c r="N909" s="64"/>
      <c r="O909" s="64"/>
      <c r="P909" s="64"/>
      <c r="Q909" s="64"/>
      <c r="R909" s="64"/>
      <c r="S909" s="68"/>
      <c r="T909" s="64"/>
      <c r="U909" s="64"/>
      <c r="V909" s="64"/>
      <c r="W909" s="64"/>
      <c r="X909" s="64"/>
      <c r="Y909" s="64"/>
      <c r="Z909" s="64"/>
      <c r="AA909" s="64"/>
      <c r="AB909" s="64"/>
      <c r="AC909" s="68"/>
      <c r="AD909" s="64"/>
    </row>
    <row r="910" ht="15.75" customHeight="1">
      <c r="A910" s="64"/>
      <c r="B910" s="64"/>
      <c r="C910" s="64"/>
      <c r="D910" s="64"/>
      <c r="E910" s="64"/>
      <c r="G910" s="68"/>
      <c r="H910" s="67"/>
      <c r="I910" s="64"/>
      <c r="J910" s="64"/>
      <c r="K910" s="64"/>
      <c r="L910" s="64"/>
      <c r="M910" s="64"/>
      <c r="N910" s="64"/>
      <c r="O910" s="64"/>
      <c r="P910" s="64"/>
      <c r="Q910" s="64"/>
      <c r="R910" s="64"/>
      <c r="S910" s="68"/>
      <c r="T910" s="64"/>
      <c r="U910" s="64"/>
      <c r="V910" s="64"/>
      <c r="W910" s="64"/>
      <c r="X910" s="64"/>
      <c r="Y910" s="64"/>
      <c r="Z910" s="64"/>
      <c r="AA910" s="64"/>
      <c r="AB910" s="64"/>
      <c r="AC910" s="68"/>
      <c r="AD910" s="64"/>
    </row>
    <row r="911" ht="15.75" customHeight="1">
      <c r="A911" s="64"/>
      <c r="B911" s="64"/>
      <c r="C911" s="64"/>
      <c r="D911" s="64"/>
      <c r="E911" s="64"/>
      <c r="G911" s="68"/>
      <c r="H911" s="67"/>
      <c r="I911" s="64"/>
      <c r="J911" s="64"/>
      <c r="K911" s="64"/>
      <c r="L911" s="64"/>
      <c r="M911" s="64"/>
      <c r="N911" s="64"/>
      <c r="O911" s="64"/>
      <c r="P911" s="64"/>
      <c r="Q911" s="64"/>
      <c r="R911" s="64"/>
      <c r="S911" s="68"/>
      <c r="T911" s="64"/>
      <c r="U911" s="64"/>
      <c r="V911" s="64"/>
      <c r="W911" s="64"/>
      <c r="X911" s="64"/>
      <c r="Y911" s="64"/>
      <c r="Z911" s="64"/>
      <c r="AA911" s="64"/>
      <c r="AB911" s="64"/>
      <c r="AC911" s="68"/>
      <c r="AD911" s="64"/>
    </row>
    <row r="912" ht="15.75" customHeight="1">
      <c r="A912" s="64"/>
      <c r="B912" s="64"/>
      <c r="C912" s="64"/>
      <c r="D912" s="64"/>
      <c r="E912" s="64"/>
      <c r="G912" s="68"/>
      <c r="H912" s="67"/>
      <c r="I912" s="64"/>
      <c r="J912" s="64"/>
      <c r="K912" s="64"/>
      <c r="L912" s="64"/>
      <c r="M912" s="64"/>
      <c r="N912" s="64"/>
      <c r="O912" s="64"/>
      <c r="P912" s="64"/>
      <c r="Q912" s="64"/>
      <c r="R912" s="64"/>
      <c r="S912" s="68"/>
      <c r="T912" s="64"/>
      <c r="U912" s="64"/>
      <c r="V912" s="64"/>
      <c r="W912" s="64"/>
      <c r="X912" s="64"/>
      <c r="Y912" s="64"/>
      <c r="Z912" s="64"/>
      <c r="AA912" s="64"/>
      <c r="AB912" s="64"/>
      <c r="AC912" s="68"/>
      <c r="AD912" s="64"/>
    </row>
    <row r="913" ht="15.75" customHeight="1">
      <c r="A913" s="64"/>
      <c r="B913" s="64"/>
      <c r="C913" s="64"/>
      <c r="D913" s="64"/>
      <c r="E913" s="64"/>
      <c r="G913" s="68"/>
      <c r="H913" s="67"/>
      <c r="I913" s="64"/>
      <c r="J913" s="64"/>
      <c r="K913" s="64"/>
      <c r="L913" s="64"/>
      <c r="M913" s="64"/>
      <c r="N913" s="64"/>
      <c r="O913" s="64"/>
      <c r="P913" s="64"/>
      <c r="Q913" s="64"/>
      <c r="R913" s="64"/>
      <c r="S913" s="68"/>
      <c r="T913" s="64"/>
      <c r="U913" s="64"/>
      <c r="V913" s="64"/>
      <c r="W913" s="64"/>
      <c r="X913" s="64"/>
      <c r="Y913" s="64"/>
      <c r="Z913" s="64"/>
      <c r="AA913" s="64"/>
      <c r="AB913" s="64"/>
      <c r="AC913" s="68"/>
      <c r="AD913" s="64"/>
    </row>
    <row r="914" ht="15.75" customHeight="1">
      <c r="A914" s="64"/>
      <c r="B914" s="64"/>
      <c r="C914" s="64"/>
      <c r="D914" s="64"/>
      <c r="E914" s="64"/>
      <c r="G914" s="68"/>
      <c r="H914" s="67"/>
      <c r="I914" s="64"/>
      <c r="J914" s="64"/>
      <c r="K914" s="64"/>
      <c r="L914" s="64"/>
      <c r="M914" s="64"/>
      <c r="N914" s="64"/>
      <c r="O914" s="64"/>
      <c r="P914" s="64"/>
      <c r="Q914" s="64"/>
      <c r="R914" s="64"/>
      <c r="S914" s="68"/>
      <c r="T914" s="64"/>
      <c r="U914" s="64"/>
      <c r="V914" s="64"/>
      <c r="W914" s="64"/>
      <c r="X914" s="64"/>
      <c r="Y914" s="64"/>
      <c r="Z914" s="64"/>
      <c r="AA914" s="64"/>
      <c r="AB914" s="64"/>
      <c r="AC914" s="68"/>
      <c r="AD914" s="64"/>
    </row>
    <row r="915" ht="15.75" customHeight="1">
      <c r="A915" s="64"/>
      <c r="B915" s="64"/>
      <c r="C915" s="64"/>
      <c r="D915" s="64"/>
      <c r="E915" s="64"/>
      <c r="G915" s="68"/>
      <c r="H915" s="67"/>
      <c r="I915" s="64"/>
      <c r="J915" s="64"/>
      <c r="K915" s="64"/>
      <c r="L915" s="64"/>
      <c r="M915" s="64"/>
      <c r="N915" s="64"/>
      <c r="O915" s="64"/>
      <c r="P915" s="64"/>
      <c r="Q915" s="64"/>
      <c r="R915" s="64"/>
      <c r="S915" s="68"/>
      <c r="T915" s="64"/>
      <c r="U915" s="64"/>
      <c r="V915" s="64"/>
      <c r="W915" s="64"/>
      <c r="X915" s="64"/>
      <c r="Y915" s="64"/>
      <c r="Z915" s="64"/>
      <c r="AA915" s="64"/>
      <c r="AB915" s="64"/>
      <c r="AC915" s="68"/>
      <c r="AD915" s="64"/>
    </row>
    <row r="916" ht="15.75" customHeight="1">
      <c r="A916" s="64"/>
      <c r="B916" s="64"/>
      <c r="C916" s="64"/>
      <c r="D916" s="64"/>
      <c r="E916" s="64"/>
      <c r="G916" s="68"/>
      <c r="H916" s="67"/>
      <c r="I916" s="64"/>
      <c r="J916" s="64"/>
      <c r="K916" s="64"/>
      <c r="L916" s="64"/>
      <c r="M916" s="64"/>
      <c r="N916" s="64"/>
      <c r="O916" s="64"/>
      <c r="P916" s="64"/>
      <c r="Q916" s="64"/>
      <c r="R916" s="64"/>
      <c r="S916" s="68"/>
      <c r="T916" s="64"/>
      <c r="U916" s="64"/>
      <c r="V916" s="64"/>
      <c r="W916" s="64"/>
      <c r="X916" s="64"/>
      <c r="Y916" s="64"/>
      <c r="Z916" s="64"/>
      <c r="AA916" s="64"/>
      <c r="AB916" s="64"/>
      <c r="AC916" s="68"/>
      <c r="AD916" s="64"/>
    </row>
    <row r="917" ht="15.75" customHeight="1">
      <c r="A917" s="64"/>
      <c r="B917" s="64"/>
      <c r="C917" s="64"/>
      <c r="D917" s="64"/>
      <c r="E917" s="64"/>
      <c r="G917" s="68"/>
      <c r="H917" s="67"/>
      <c r="I917" s="64"/>
      <c r="J917" s="64"/>
      <c r="K917" s="64"/>
      <c r="L917" s="64"/>
      <c r="M917" s="64"/>
      <c r="N917" s="64"/>
      <c r="O917" s="64"/>
      <c r="P917" s="64"/>
      <c r="Q917" s="64"/>
      <c r="R917" s="64"/>
      <c r="S917" s="68"/>
      <c r="T917" s="64"/>
      <c r="U917" s="64"/>
      <c r="V917" s="64"/>
      <c r="W917" s="64"/>
      <c r="X917" s="64"/>
      <c r="Y917" s="64"/>
      <c r="Z917" s="64"/>
      <c r="AA917" s="64"/>
      <c r="AB917" s="64"/>
      <c r="AC917" s="68"/>
      <c r="AD917" s="64"/>
    </row>
    <row r="918" ht="15.75" customHeight="1">
      <c r="A918" s="64"/>
      <c r="B918" s="64"/>
      <c r="C918" s="64"/>
      <c r="D918" s="64"/>
      <c r="E918" s="64"/>
      <c r="G918" s="68"/>
      <c r="H918" s="67"/>
      <c r="I918" s="64"/>
      <c r="J918" s="64"/>
      <c r="K918" s="64"/>
      <c r="L918" s="64"/>
      <c r="M918" s="64"/>
      <c r="N918" s="64"/>
      <c r="O918" s="64"/>
      <c r="P918" s="64"/>
      <c r="Q918" s="64"/>
      <c r="R918" s="64"/>
      <c r="S918" s="68"/>
      <c r="T918" s="64"/>
      <c r="U918" s="64"/>
      <c r="V918" s="64"/>
      <c r="W918" s="64"/>
      <c r="X918" s="64"/>
      <c r="Y918" s="64"/>
      <c r="Z918" s="64"/>
      <c r="AA918" s="64"/>
      <c r="AB918" s="64"/>
      <c r="AC918" s="68"/>
      <c r="AD918" s="64"/>
    </row>
    <row r="919" ht="15.75" customHeight="1">
      <c r="A919" s="64"/>
      <c r="B919" s="64"/>
      <c r="C919" s="64"/>
      <c r="D919" s="64"/>
      <c r="E919" s="64"/>
      <c r="G919" s="68"/>
      <c r="H919" s="67"/>
      <c r="I919" s="64"/>
      <c r="J919" s="64"/>
      <c r="K919" s="64"/>
      <c r="L919" s="64"/>
      <c r="M919" s="64"/>
      <c r="N919" s="64"/>
      <c r="O919" s="64"/>
      <c r="P919" s="64"/>
      <c r="Q919" s="64"/>
      <c r="R919" s="64"/>
      <c r="S919" s="68"/>
      <c r="T919" s="64"/>
      <c r="U919" s="64"/>
      <c r="V919" s="64"/>
      <c r="W919" s="64"/>
      <c r="X919" s="64"/>
      <c r="Y919" s="64"/>
      <c r="Z919" s="64"/>
      <c r="AA919" s="64"/>
      <c r="AB919" s="64"/>
      <c r="AC919" s="68"/>
      <c r="AD919" s="64"/>
    </row>
    <row r="920" ht="15.75" customHeight="1">
      <c r="A920" s="64"/>
      <c r="B920" s="64"/>
      <c r="C920" s="64"/>
      <c r="D920" s="64"/>
      <c r="E920" s="64"/>
      <c r="G920" s="68"/>
      <c r="H920" s="67"/>
      <c r="I920" s="64"/>
      <c r="J920" s="64"/>
      <c r="K920" s="64"/>
      <c r="L920" s="64"/>
      <c r="M920" s="64"/>
      <c r="N920" s="64"/>
      <c r="O920" s="64"/>
      <c r="P920" s="64"/>
      <c r="Q920" s="64"/>
      <c r="R920" s="64"/>
      <c r="S920" s="68"/>
      <c r="T920" s="64"/>
      <c r="U920" s="64"/>
      <c r="V920" s="64"/>
      <c r="W920" s="64"/>
      <c r="X920" s="64"/>
      <c r="Y920" s="64"/>
      <c r="Z920" s="64"/>
      <c r="AA920" s="64"/>
      <c r="AB920" s="64"/>
      <c r="AC920" s="68"/>
      <c r="AD920" s="64"/>
    </row>
    <row r="921" ht="15.75" customHeight="1">
      <c r="A921" s="64"/>
      <c r="B921" s="64"/>
      <c r="C921" s="64"/>
      <c r="D921" s="64"/>
      <c r="E921" s="64"/>
      <c r="G921" s="68"/>
      <c r="H921" s="67"/>
      <c r="I921" s="64"/>
      <c r="J921" s="64"/>
      <c r="K921" s="64"/>
      <c r="L921" s="64"/>
      <c r="M921" s="64"/>
      <c r="N921" s="64"/>
      <c r="O921" s="64"/>
      <c r="P921" s="64"/>
      <c r="Q921" s="64"/>
      <c r="R921" s="64"/>
      <c r="S921" s="68"/>
      <c r="T921" s="64"/>
      <c r="U921" s="64"/>
      <c r="V921" s="64"/>
      <c r="W921" s="64"/>
      <c r="X921" s="64"/>
      <c r="Y921" s="64"/>
      <c r="Z921" s="64"/>
      <c r="AA921" s="64"/>
      <c r="AB921" s="64"/>
      <c r="AC921" s="68"/>
      <c r="AD921" s="64"/>
    </row>
    <row r="922" ht="15.75" customHeight="1">
      <c r="A922" s="64"/>
      <c r="B922" s="64"/>
      <c r="C922" s="64"/>
      <c r="D922" s="64"/>
      <c r="E922" s="64"/>
      <c r="G922" s="68"/>
      <c r="H922" s="67"/>
      <c r="I922" s="64"/>
      <c r="J922" s="64"/>
      <c r="K922" s="64"/>
      <c r="L922" s="64"/>
      <c r="M922" s="64"/>
      <c r="N922" s="64"/>
      <c r="O922" s="64"/>
      <c r="P922" s="64"/>
      <c r="Q922" s="64"/>
      <c r="R922" s="64"/>
      <c r="S922" s="68"/>
      <c r="T922" s="64"/>
      <c r="U922" s="64"/>
      <c r="V922" s="64"/>
      <c r="W922" s="64"/>
      <c r="X922" s="64"/>
      <c r="Y922" s="64"/>
      <c r="Z922" s="64"/>
      <c r="AA922" s="64"/>
      <c r="AB922" s="64"/>
      <c r="AC922" s="68"/>
      <c r="AD922" s="64"/>
    </row>
    <row r="923" ht="15.75" customHeight="1">
      <c r="A923" s="64"/>
      <c r="B923" s="64"/>
      <c r="C923" s="64"/>
      <c r="D923" s="64"/>
      <c r="E923" s="64"/>
      <c r="G923" s="68"/>
      <c r="H923" s="67"/>
      <c r="I923" s="64"/>
      <c r="J923" s="64"/>
      <c r="K923" s="64"/>
      <c r="L923" s="64"/>
      <c r="M923" s="64"/>
      <c r="N923" s="64"/>
      <c r="O923" s="64"/>
      <c r="P923" s="64"/>
      <c r="Q923" s="64"/>
      <c r="R923" s="64"/>
      <c r="S923" s="68"/>
      <c r="T923" s="64"/>
      <c r="U923" s="64"/>
      <c r="V923" s="64"/>
      <c r="W923" s="64"/>
      <c r="X923" s="64"/>
      <c r="Y923" s="64"/>
      <c r="Z923" s="64"/>
      <c r="AA923" s="64"/>
      <c r="AB923" s="64"/>
      <c r="AC923" s="68"/>
      <c r="AD923" s="64"/>
    </row>
    <row r="924" ht="15.75" customHeight="1">
      <c r="A924" s="64"/>
      <c r="B924" s="64"/>
      <c r="C924" s="64"/>
      <c r="D924" s="64"/>
      <c r="E924" s="64"/>
      <c r="G924" s="68"/>
      <c r="H924" s="67"/>
      <c r="I924" s="64"/>
      <c r="J924" s="64"/>
      <c r="K924" s="64"/>
      <c r="L924" s="64"/>
      <c r="M924" s="64"/>
      <c r="N924" s="64"/>
      <c r="O924" s="64"/>
      <c r="P924" s="64"/>
      <c r="Q924" s="64"/>
      <c r="R924" s="64"/>
      <c r="S924" s="68"/>
      <c r="T924" s="64"/>
      <c r="U924" s="64"/>
      <c r="V924" s="64"/>
      <c r="W924" s="64"/>
      <c r="X924" s="64"/>
      <c r="Y924" s="64"/>
      <c r="Z924" s="64"/>
      <c r="AA924" s="64"/>
      <c r="AB924" s="64"/>
      <c r="AC924" s="68"/>
      <c r="AD924" s="64"/>
    </row>
    <row r="925" ht="15.75" customHeight="1">
      <c r="A925" s="64"/>
      <c r="B925" s="64"/>
      <c r="C925" s="64"/>
      <c r="D925" s="64"/>
      <c r="E925" s="64"/>
      <c r="G925" s="68"/>
      <c r="H925" s="67"/>
      <c r="I925" s="64"/>
      <c r="J925" s="64"/>
      <c r="K925" s="64"/>
      <c r="L925" s="64"/>
      <c r="M925" s="64"/>
      <c r="N925" s="64"/>
      <c r="O925" s="64"/>
      <c r="P925" s="64"/>
      <c r="Q925" s="64"/>
      <c r="R925" s="64"/>
      <c r="S925" s="68"/>
      <c r="T925" s="64"/>
      <c r="U925" s="64"/>
      <c r="V925" s="64"/>
      <c r="W925" s="64"/>
      <c r="X925" s="64"/>
      <c r="Y925" s="64"/>
      <c r="Z925" s="64"/>
      <c r="AA925" s="64"/>
      <c r="AB925" s="64"/>
      <c r="AC925" s="68"/>
      <c r="AD925" s="64"/>
    </row>
    <row r="926" ht="15.75" customHeight="1">
      <c r="A926" s="64"/>
      <c r="B926" s="64"/>
      <c r="C926" s="64"/>
      <c r="D926" s="64"/>
      <c r="E926" s="64"/>
      <c r="G926" s="68"/>
      <c r="H926" s="67"/>
      <c r="I926" s="64"/>
      <c r="J926" s="64"/>
      <c r="K926" s="64"/>
      <c r="L926" s="64"/>
      <c r="M926" s="64"/>
      <c r="N926" s="64"/>
      <c r="O926" s="64"/>
      <c r="P926" s="64"/>
      <c r="Q926" s="64"/>
      <c r="R926" s="64"/>
      <c r="S926" s="68"/>
      <c r="T926" s="64"/>
      <c r="U926" s="64"/>
      <c r="V926" s="64"/>
      <c r="W926" s="64"/>
      <c r="X926" s="64"/>
      <c r="Y926" s="64"/>
      <c r="Z926" s="64"/>
      <c r="AA926" s="64"/>
      <c r="AB926" s="64"/>
      <c r="AC926" s="68"/>
      <c r="AD926" s="64"/>
    </row>
    <row r="927" ht="15.75" customHeight="1">
      <c r="A927" s="64"/>
      <c r="B927" s="64"/>
      <c r="C927" s="64"/>
      <c r="D927" s="64"/>
      <c r="E927" s="64"/>
      <c r="G927" s="68"/>
      <c r="H927" s="67"/>
      <c r="I927" s="64"/>
      <c r="J927" s="64"/>
      <c r="K927" s="64"/>
      <c r="L927" s="64"/>
      <c r="M927" s="64"/>
      <c r="N927" s="64"/>
      <c r="O927" s="64"/>
      <c r="P927" s="64"/>
      <c r="Q927" s="64"/>
      <c r="R927" s="64"/>
      <c r="S927" s="68"/>
      <c r="T927" s="64"/>
      <c r="U927" s="64"/>
      <c r="V927" s="64"/>
      <c r="W927" s="64"/>
      <c r="X927" s="64"/>
      <c r="Y927" s="64"/>
      <c r="Z927" s="64"/>
      <c r="AA927" s="64"/>
      <c r="AB927" s="64"/>
      <c r="AC927" s="68"/>
      <c r="AD927" s="64"/>
    </row>
    <row r="928" ht="15.75" customHeight="1">
      <c r="A928" s="64"/>
      <c r="B928" s="64"/>
      <c r="C928" s="64"/>
      <c r="D928" s="64"/>
      <c r="E928" s="64"/>
      <c r="G928" s="68"/>
      <c r="H928" s="67"/>
      <c r="I928" s="64"/>
      <c r="J928" s="64"/>
      <c r="K928" s="64"/>
      <c r="L928" s="64"/>
      <c r="M928" s="64"/>
      <c r="N928" s="64"/>
      <c r="O928" s="64"/>
      <c r="P928" s="64"/>
      <c r="Q928" s="64"/>
      <c r="R928" s="64"/>
      <c r="S928" s="68"/>
      <c r="T928" s="64"/>
      <c r="U928" s="64"/>
      <c r="V928" s="64"/>
      <c r="W928" s="64"/>
      <c r="X928" s="64"/>
      <c r="Y928" s="64"/>
      <c r="Z928" s="64"/>
      <c r="AA928" s="64"/>
      <c r="AB928" s="64"/>
      <c r="AC928" s="68"/>
      <c r="AD928" s="64"/>
    </row>
    <row r="929" ht="15.75" customHeight="1">
      <c r="A929" s="64"/>
      <c r="B929" s="64"/>
      <c r="C929" s="64"/>
      <c r="D929" s="64"/>
      <c r="E929" s="64"/>
      <c r="G929" s="68"/>
      <c r="H929" s="67"/>
      <c r="I929" s="64"/>
      <c r="J929" s="64"/>
      <c r="K929" s="64"/>
      <c r="L929" s="64"/>
      <c r="M929" s="64"/>
      <c r="N929" s="64"/>
      <c r="O929" s="64"/>
      <c r="P929" s="64"/>
      <c r="Q929" s="64"/>
      <c r="R929" s="64"/>
      <c r="S929" s="68"/>
      <c r="T929" s="64"/>
      <c r="U929" s="64"/>
      <c r="V929" s="64"/>
      <c r="W929" s="64"/>
      <c r="X929" s="64"/>
      <c r="Y929" s="64"/>
      <c r="Z929" s="64"/>
      <c r="AA929" s="64"/>
      <c r="AB929" s="64"/>
      <c r="AC929" s="68"/>
      <c r="AD929" s="64"/>
    </row>
    <row r="930" ht="15.75" customHeight="1">
      <c r="A930" s="64"/>
      <c r="B930" s="64"/>
      <c r="C930" s="64"/>
      <c r="D930" s="64"/>
      <c r="E930" s="64"/>
      <c r="G930" s="68"/>
      <c r="H930" s="67"/>
      <c r="I930" s="64"/>
      <c r="J930" s="64"/>
      <c r="K930" s="64"/>
      <c r="L930" s="64"/>
      <c r="M930" s="64"/>
      <c r="N930" s="64"/>
      <c r="O930" s="64"/>
      <c r="P930" s="64"/>
      <c r="Q930" s="64"/>
      <c r="R930" s="64"/>
      <c r="S930" s="68"/>
      <c r="T930" s="64"/>
      <c r="U930" s="64"/>
      <c r="V930" s="64"/>
      <c r="W930" s="64"/>
      <c r="X930" s="64"/>
      <c r="Y930" s="64"/>
      <c r="Z930" s="64"/>
      <c r="AA930" s="64"/>
      <c r="AB930" s="64"/>
      <c r="AC930" s="68"/>
      <c r="AD930" s="64"/>
    </row>
    <row r="931" ht="15.75" customHeight="1">
      <c r="A931" s="64"/>
      <c r="B931" s="64"/>
      <c r="C931" s="64"/>
      <c r="D931" s="64"/>
      <c r="E931" s="64"/>
      <c r="G931" s="68"/>
      <c r="H931" s="67"/>
      <c r="I931" s="64"/>
      <c r="J931" s="64"/>
      <c r="K931" s="64"/>
      <c r="L931" s="64"/>
      <c r="M931" s="64"/>
      <c r="N931" s="64"/>
      <c r="O931" s="64"/>
      <c r="P931" s="64"/>
      <c r="Q931" s="64"/>
      <c r="R931" s="64"/>
      <c r="S931" s="68"/>
      <c r="T931" s="64"/>
      <c r="U931" s="64"/>
      <c r="V931" s="64"/>
      <c r="W931" s="64"/>
      <c r="X931" s="64"/>
      <c r="Y931" s="64"/>
      <c r="Z931" s="64"/>
      <c r="AA931" s="64"/>
      <c r="AB931" s="64"/>
      <c r="AC931" s="68"/>
      <c r="AD931" s="64"/>
    </row>
    <row r="932" ht="15.75" customHeight="1">
      <c r="A932" s="64"/>
      <c r="B932" s="64"/>
      <c r="C932" s="64"/>
      <c r="D932" s="64"/>
      <c r="E932" s="64"/>
      <c r="G932" s="68"/>
      <c r="H932" s="67"/>
      <c r="I932" s="64"/>
      <c r="J932" s="64"/>
      <c r="K932" s="64"/>
      <c r="L932" s="64"/>
      <c r="M932" s="64"/>
      <c r="N932" s="64"/>
      <c r="O932" s="64"/>
      <c r="P932" s="64"/>
      <c r="Q932" s="64"/>
      <c r="R932" s="64"/>
      <c r="S932" s="68"/>
      <c r="T932" s="64"/>
      <c r="U932" s="64"/>
      <c r="V932" s="64"/>
      <c r="W932" s="64"/>
      <c r="X932" s="64"/>
      <c r="Y932" s="64"/>
      <c r="Z932" s="64"/>
      <c r="AA932" s="64"/>
      <c r="AB932" s="64"/>
      <c r="AC932" s="68"/>
      <c r="AD932" s="64"/>
    </row>
    <row r="933" ht="15.75" customHeight="1">
      <c r="A933" s="64"/>
      <c r="B933" s="64"/>
      <c r="C933" s="64"/>
      <c r="D933" s="64"/>
      <c r="E933" s="64"/>
      <c r="G933" s="68"/>
      <c r="H933" s="67"/>
      <c r="I933" s="64"/>
      <c r="J933" s="64"/>
      <c r="K933" s="64"/>
      <c r="L933" s="64"/>
      <c r="M933" s="64"/>
      <c r="N933" s="64"/>
      <c r="O933" s="64"/>
      <c r="P933" s="64"/>
      <c r="Q933" s="64"/>
      <c r="R933" s="64"/>
      <c r="S933" s="68"/>
      <c r="T933" s="64"/>
      <c r="U933" s="64"/>
      <c r="V933" s="64"/>
      <c r="W933" s="64"/>
      <c r="X933" s="64"/>
      <c r="Y933" s="64"/>
      <c r="Z933" s="64"/>
      <c r="AA933" s="64"/>
      <c r="AB933" s="64"/>
      <c r="AC933" s="68"/>
      <c r="AD933" s="64"/>
    </row>
    <row r="934" ht="15.75" customHeight="1">
      <c r="A934" s="64"/>
      <c r="B934" s="64"/>
      <c r="C934" s="64"/>
      <c r="D934" s="64"/>
      <c r="E934" s="64"/>
      <c r="G934" s="68"/>
      <c r="H934" s="67"/>
      <c r="I934" s="64"/>
      <c r="J934" s="64"/>
      <c r="K934" s="64"/>
      <c r="L934" s="64"/>
      <c r="M934" s="64"/>
      <c r="N934" s="64"/>
      <c r="O934" s="64"/>
      <c r="P934" s="64"/>
      <c r="Q934" s="64"/>
      <c r="R934" s="64"/>
      <c r="S934" s="68"/>
      <c r="T934" s="64"/>
      <c r="U934" s="64"/>
      <c r="V934" s="64"/>
      <c r="W934" s="64"/>
      <c r="X934" s="64"/>
      <c r="Y934" s="64"/>
      <c r="Z934" s="64"/>
      <c r="AA934" s="64"/>
      <c r="AB934" s="64"/>
      <c r="AC934" s="68"/>
      <c r="AD934" s="64"/>
    </row>
    <row r="935" ht="15.75" customHeight="1">
      <c r="A935" s="64"/>
      <c r="B935" s="64"/>
      <c r="C935" s="64"/>
      <c r="D935" s="64"/>
      <c r="E935" s="64"/>
      <c r="G935" s="68"/>
      <c r="H935" s="67"/>
      <c r="I935" s="64"/>
      <c r="J935" s="64"/>
      <c r="K935" s="64"/>
      <c r="L935" s="64"/>
      <c r="M935" s="64"/>
      <c r="N935" s="64"/>
      <c r="O935" s="64"/>
      <c r="P935" s="64"/>
      <c r="Q935" s="64"/>
      <c r="R935" s="64"/>
      <c r="S935" s="68"/>
      <c r="T935" s="64"/>
      <c r="U935" s="64"/>
      <c r="V935" s="64"/>
      <c r="W935" s="64"/>
      <c r="X935" s="64"/>
      <c r="Y935" s="64"/>
      <c r="Z935" s="64"/>
      <c r="AA935" s="64"/>
      <c r="AB935" s="64"/>
      <c r="AC935" s="68"/>
      <c r="AD935" s="64"/>
    </row>
    <row r="936" ht="15.75" customHeight="1">
      <c r="A936" s="64"/>
      <c r="B936" s="64"/>
      <c r="C936" s="64"/>
      <c r="D936" s="64"/>
      <c r="E936" s="64"/>
      <c r="G936" s="68"/>
      <c r="H936" s="67"/>
      <c r="I936" s="64"/>
      <c r="J936" s="64"/>
      <c r="K936" s="64"/>
      <c r="L936" s="64"/>
      <c r="M936" s="64"/>
      <c r="N936" s="64"/>
      <c r="O936" s="64"/>
      <c r="P936" s="64"/>
      <c r="Q936" s="64"/>
      <c r="R936" s="64"/>
      <c r="S936" s="68"/>
      <c r="T936" s="64"/>
      <c r="U936" s="64"/>
      <c r="V936" s="64"/>
      <c r="W936" s="64"/>
      <c r="X936" s="64"/>
      <c r="Y936" s="64"/>
      <c r="Z936" s="64"/>
      <c r="AA936" s="64"/>
      <c r="AB936" s="64"/>
      <c r="AC936" s="68"/>
      <c r="AD936" s="64"/>
    </row>
    <row r="937" ht="15.75" customHeight="1">
      <c r="A937" s="64"/>
      <c r="B937" s="64"/>
      <c r="C937" s="64"/>
      <c r="D937" s="64"/>
      <c r="E937" s="64"/>
      <c r="G937" s="68"/>
      <c r="H937" s="67"/>
      <c r="I937" s="64"/>
      <c r="J937" s="64"/>
      <c r="K937" s="64"/>
      <c r="L937" s="64"/>
      <c r="M937" s="64"/>
      <c r="N937" s="64"/>
      <c r="O937" s="64"/>
      <c r="P937" s="64"/>
      <c r="Q937" s="64"/>
      <c r="R937" s="64"/>
      <c r="S937" s="68"/>
      <c r="T937" s="64"/>
      <c r="U937" s="64"/>
      <c r="V937" s="64"/>
      <c r="W937" s="64"/>
      <c r="X937" s="64"/>
      <c r="Y937" s="64"/>
      <c r="Z937" s="64"/>
      <c r="AA937" s="64"/>
      <c r="AB937" s="64"/>
      <c r="AC937" s="68"/>
      <c r="AD937" s="64"/>
    </row>
    <row r="938" ht="15.75" customHeight="1">
      <c r="A938" s="64"/>
      <c r="B938" s="64"/>
      <c r="C938" s="64"/>
      <c r="D938" s="64"/>
      <c r="E938" s="64"/>
      <c r="G938" s="68"/>
      <c r="H938" s="67"/>
      <c r="I938" s="64"/>
      <c r="J938" s="64"/>
      <c r="K938" s="64"/>
      <c r="L938" s="64"/>
      <c r="M938" s="64"/>
      <c r="N938" s="64"/>
      <c r="O938" s="64"/>
      <c r="P938" s="64"/>
      <c r="Q938" s="64"/>
      <c r="R938" s="64"/>
      <c r="S938" s="68"/>
      <c r="T938" s="64"/>
      <c r="U938" s="64"/>
      <c r="V938" s="64"/>
      <c r="W938" s="64"/>
      <c r="X938" s="64"/>
      <c r="Y938" s="64"/>
      <c r="Z938" s="64"/>
      <c r="AA938" s="64"/>
      <c r="AB938" s="64"/>
      <c r="AC938" s="68"/>
      <c r="AD938" s="64"/>
    </row>
    <row r="939" ht="15.75" customHeight="1">
      <c r="A939" s="64"/>
      <c r="B939" s="64"/>
      <c r="C939" s="64"/>
      <c r="D939" s="64"/>
      <c r="E939" s="64"/>
      <c r="G939" s="68"/>
      <c r="H939" s="67"/>
      <c r="I939" s="64"/>
      <c r="J939" s="64"/>
      <c r="K939" s="64"/>
      <c r="L939" s="64"/>
      <c r="M939" s="64"/>
      <c r="N939" s="64"/>
      <c r="O939" s="64"/>
      <c r="P939" s="64"/>
      <c r="Q939" s="64"/>
      <c r="R939" s="64"/>
      <c r="S939" s="68"/>
      <c r="T939" s="64"/>
      <c r="U939" s="64"/>
      <c r="V939" s="64"/>
      <c r="W939" s="64"/>
      <c r="X939" s="64"/>
      <c r="Y939" s="64"/>
      <c r="Z939" s="64"/>
      <c r="AA939" s="64"/>
      <c r="AB939" s="64"/>
      <c r="AC939" s="68"/>
      <c r="AD939" s="64"/>
    </row>
    <row r="940" ht="15.75" customHeight="1">
      <c r="A940" s="64"/>
      <c r="B940" s="64"/>
      <c r="C940" s="64"/>
      <c r="D940" s="64"/>
      <c r="E940" s="64"/>
      <c r="G940" s="68"/>
      <c r="H940" s="67"/>
      <c r="I940" s="64"/>
      <c r="J940" s="64"/>
      <c r="K940" s="64"/>
      <c r="L940" s="64"/>
      <c r="M940" s="64"/>
      <c r="N940" s="64"/>
      <c r="O940" s="64"/>
      <c r="P940" s="64"/>
      <c r="Q940" s="64"/>
      <c r="R940" s="64"/>
      <c r="S940" s="68"/>
      <c r="T940" s="64"/>
      <c r="U940" s="64"/>
      <c r="V940" s="64"/>
      <c r="W940" s="64"/>
      <c r="X940" s="64"/>
      <c r="Y940" s="64"/>
      <c r="Z940" s="64"/>
      <c r="AA940" s="64"/>
      <c r="AB940" s="64"/>
      <c r="AC940" s="68"/>
      <c r="AD940" s="64"/>
    </row>
    <row r="941" ht="15.75" customHeight="1">
      <c r="A941" s="64"/>
      <c r="B941" s="64"/>
      <c r="C941" s="64"/>
      <c r="D941" s="64"/>
      <c r="E941" s="64"/>
      <c r="G941" s="68"/>
      <c r="H941" s="67"/>
      <c r="I941" s="64"/>
      <c r="J941" s="64"/>
      <c r="K941" s="64"/>
      <c r="L941" s="64"/>
      <c r="M941" s="64"/>
      <c r="N941" s="64"/>
      <c r="O941" s="64"/>
      <c r="P941" s="64"/>
      <c r="Q941" s="64"/>
      <c r="R941" s="64"/>
      <c r="S941" s="68"/>
      <c r="T941" s="64"/>
      <c r="U941" s="64"/>
      <c r="V941" s="64"/>
      <c r="W941" s="64"/>
      <c r="X941" s="64"/>
      <c r="Y941" s="64"/>
      <c r="Z941" s="64"/>
      <c r="AA941" s="64"/>
      <c r="AB941" s="64"/>
      <c r="AC941" s="68"/>
      <c r="AD941" s="64"/>
    </row>
  </sheetData>
  <autoFilter ref="$E$3:$E$303">
    <filterColumn colId="0">
      <filters>
        <filter val="PRESTACION DE SERVICIOS DE APOYO A LA GESTION"/>
        <filter val="PRESTACION DE SERVICIOS"/>
        <filter val="PRESTACIÓN DE SERVICIOS PROFESIONALES"/>
        <filter val="CONTRATO PRESTACION DE SERVICIOS"/>
        <filter val="CONTRATO PRESTACION DE SERVICIOS PROFESIONALES"/>
        <filter val="PRESTACION DE SERVICIOS PROFESIONALES"/>
        <filter val="PRESTACIÓN DE SERVICIOS"/>
      </filters>
    </filterColumn>
  </autoFilter>
  <mergeCells count="1">
    <mergeCell ref="A1:AC1"/>
  </mergeCells>
  <dataValidations>
    <dataValidation type="list" allowBlank="1" showErrorMessage="1" sqref="E2:E941">
      <formula1>"CLASE DE ORDEN  CONTRATO Y/O CONVENIO,COMPRAVENTA,CONSULTORÍA,CONVENIO,FIDUCIA MERCANTIL,INTERADMINISTRATIVO,LICENCIA,PRESTACIÓN DE SERVICIOS,PRESTACIÓN DE SERVICIOS APOYO A LA GESTIÓN,PRESTACIÓN DE SERVICIOS PROFESIONALES,SUMINISTRO,INTERVENTORIA,ARRENDA"&amp;"MIENTO,SEGURO"</formula1>
    </dataValidation>
  </dataValidations>
  <printOptions/>
  <pageMargins bottom="0.3937007874015748" footer="0.0" header="0.0" left="0.982246522133795" right="0.43887610563424884" top="0.3937007874015748"/>
  <pageSetup paperSize="9" scale="32" orientation="landscape"/>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 width="10.71"/>
    <col customWidth="1" min="3" max="3" width="44.43"/>
    <col customWidth="1" min="4" max="6" width="10.71"/>
  </cols>
  <sheetData>
    <row r="2">
      <c r="C2" s="27" t="s">
        <v>6178</v>
      </c>
    </row>
    <row r="3">
      <c r="C3" s="27" t="s">
        <v>6179</v>
      </c>
    </row>
    <row r="4">
      <c r="C4" s="27" t="s">
        <v>6180</v>
      </c>
    </row>
    <row r="5">
      <c r="C5" s="27" t="s">
        <v>81</v>
      </c>
    </row>
    <row r="6">
      <c r="C6" s="27" t="s">
        <v>6181</v>
      </c>
    </row>
    <row r="7">
      <c r="C7" s="27" t="s">
        <v>6182</v>
      </c>
    </row>
    <row r="8">
      <c r="C8" s="27" t="s">
        <v>6183</v>
      </c>
    </row>
    <row r="9">
      <c r="C9" s="27" t="s">
        <v>644</v>
      </c>
    </row>
    <row r="10">
      <c r="C10" s="27" t="s">
        <v>6184</v>
      </c>
    </row>
    <row r="11">
      <c r="C11" s="27" t="s">
        <v>6185</v>
      </c>
    </row>
    <row r="12">
      <c r="C12" s="27" t="s">
        <v>854</v>
      </c>
    </row>
    <row r="13">
      <c r="C13" s="27" t="s">
        <v>6186</v>
      </c>
    </row>
    <row r="14">
      <c r="C14" s="27" t="s">
        <v>520</v>
      </c>
    </row>
    <row r="15">
      <c r="C15" s="27" t="s">
        <v>6187</v>
      </c>
    </row>
    <row r="16">
      <c r="C16" s="27" t="s">
        <v>6188</v>
      </c>
    </row>
    <row r="17">
      <c r="C17" s="27" t="s">
        <v>6189</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52" t="s">
        <v>1446</v>
      </c>
    </row>
    <row r="2">
      <c r="A2" s="52" t="s">
        <v>1447</v>
      </c>
      <c r="B2" s="52" t="s">
        <v>581</v>
      </c>
      <c r="C2" s="52" t="s">
        <v>1448</v>
      </c>
      <c r="D2" s="52" t="s">
        <v>1449</v>
      </c>
      <c r="E2" s="52" t="s">
        <v>1450</v>
      </c>
      <c r="F2" s="52" t="s">
        <v>1451</v>
      </c>
      <c r="G2" s="52" t="s">
        <v>1452</v>
      </c>
      <c r="H2" s="52" t="s">
        <v>1453</v>
      </c>
      <c r="I2" s="52" t="s">
        <v>1454</v>
      </c>
      <c r="J2" s="52" t="s">
        <v>1455</v>
      </c>
      <c r="K2" s="52" t="s">
        <v>1456</v>
      </c>
      <c r="L2" s="52" t="s">
        <v>1457</v>
      </c>
      <c r="M2" s="52" t="s">
        <v>1458</v>
      </c>
      <c r="N2" s="52" t="s">
        <v>7</v>
      </c>
      <c r="O2" s="52" t="s">
        <v>10</v>
      </c>
      <c r="P2" s="52" t="s">
        <v>1459</v>
      </c>
      <c r="Q2" s="52" t="s">
        <v>1460</v>
      </c>
      <c r="R2" s="52" t="s">
        <v>1461</v>
      </c>
      <c r="S2" s="52" t="s">
        <v>1462</v>
      </c>
      <c r="T2" s="52" t="s">
        <v>17</v>
      </c>
      <c r="U2" s="52" t="s">
        <v>1463</v>
      </c>
      <c r="V2" s="52" t="s">
        <v>1464</v>
      </c>
      <c r="W2" s="52" t="s">
        <v>1465</v>
      </c>
      <c r="X2" s="52" t="s">
        <v>1466</v>
      </c>
      <c r="Y2" s="52" t="s">
        <v>1467</v>
      </c>
      <c r="Z2" s="52" t="s">
        <v>1468</v>
      </c>
      <c r="AA2" s="52" t="s">
        <v>29</v>
      </c>
    </row>
    <row r="3">
      <c r="A3" s="52">
        <v>1.0</v>
      </c>
      <c r="B3" s="52" t="s">
        <v>34</v>
      </c>
      <c r="C3" s="52" t="s">
        <v>36</v>
      </c>
      <c r="D3" s="52" t="s">
        <v>41</v>
      </c>
      <c r="E3" s="52" t="s">
        <v>1469</v>
      </c>
      <c r="F3" s="52" t="s">
        <v>1470</v>
      </c>
      <c r="G3" s="52" t="s">
        <v>1471</v>
      </c>
      <c r="H3" s="52" t="s">
        <v>583</v>
      </c>
      <c r="I3" s="52" t="s">
        <v>1472</v>
      </c>
      <c r="J3" s="52">
        <v>18.0</v>
      </c>
      <c r="K3" s="52" t="s">
        <v>1473</v>
      </c>
      <c r="L3" s="52">
        <v>55.0</v>
      </c>
      <c r="M3" s="52">
        <v>55.0</v>
      </c>
      <c r="N3" s="52" t="s">
        <v>35</v>
      </c>
      <c r="O3" s="52" t="s">
        <v>1474</v>
      </c>
      <c r="P3" s="52" t="s">
        <v>587</v>
      </c>
      <c r="Q3" s="52" t="s">
        <v>1474</v>
      </c>
      <c r="S3" s="52">
        <v>9.7749993E7</v>
      </c>
      <c r="T3" s="52">
        <v>1725.0</v>
      </c>
      <c r="U3" s="52">
        <v>0.0</v>
      </c>
      <c r="V3" s="52" t="s">
        <v>38</v>
      </c>
      <c r="W3" s="69">
        <v>45665.0</v>
      </c>
      <c r="X3" s="70">
        <v>45998.0</v>
      </c>
      <c r="Z3" s="70">
        <v>45998.0</v>
      </c>
      <c r="AA3" s="52" t="s">
        <v>1475</v>
      </c>
    </row>
    <row r="4">
      <c r="A4" s="52">
        <v>2.0</v>
      </c>
      <c r="B4" s="52" t="s">
        <v>44</v>
      </c>
      <c r="C4" s="52" t="s">
        <v>1476</v>
      </c>
      <c r="D4" s="52" t="s">
        <v>1477</v>
      </c>
      <c r="E4" s="52" t="s">
        <v>1477</v>
      </c>
      <c r="F4" s="52" t="s">
        <v>1478</v>
      </c>
      <c r="G4" s="52" t="s">
        <v>1471</v>
      </c>
      <c r="H4" s="52" t="s">
        <v>583</v>
      </c>
      <c r="I4" s="52" t="s">
        <v>1479</v>
      </c>
      <c r="J4" s="52">
        <v>21.0</v>
      </c>
      <c r="K4" s="52" t="s">
        <v>1473</v>
      </c>
      <c r="L4" s="52">
        <v>48.0</v>
      </c>
      <c r="M4" s="52">
        <v>36.0</v>
      </c>
      <c r="N4" s="52" t="s">
        <v>45</v>
      </c>
      <c r="O4" s="52" t="s">
        <v>1480</v>
      </c>
      <c r="P4" s="52" t="s">
        <v>587</v>
      </c>
      <c r="Q4" s="52" t="s">
        <v>1480</v>
      </c>
      <c r="S4" s="52">
        <v>1.265E8</v>
      </c>
      <c r="T4" s="52">
        <v>1925.0</v>
      </c>
      <c r="U4" s="52">
        <v>925.0</v>
      </c>
      <c r="V4" s="52" t="s">
        <v>47</v>
      </c>
      <c r="W4" s="69">
        <v>45665.0</v>
      </c>
      <c r="X4" s="70">
        <v>46013.0</v>
      </c>
      <c r="Z4" s="70">
        <v>46013.0</v>
      </c>
      <c r="AA4" s="52" t="s">
        <v>42</v>
      </c>
    </row>
    <row r="5">
      <c r="A5" s="52">
        <v>3.0</v>
      </c>
      <c r="B5" s="52" t="s">
        <v>50</v>
      </c>
      <c r="C5" s="52" t="s">
        <v>1481</v>
      </c>
      <c r="D5" s="52" t="s">
        <v>41</v>
      </c>
      <c r="E5" s="52" t="s">
        <v>1482</v>
      </c>
      <c r="F5" s="52" t="s">
        <v>1478</v>
      </c>
      <c r="G5" s="52" t="s">
        <v>1471</v>
      </c>
      <c r="H5" s="52" t="s">
        <v>583</v>
      </c>
      <c r="I5" s="52" t="s">
        <v>1479</v>
      </c>
      <c r="J5" s="52">
        <v>8.0</v>
      </c>
      <c r="K5" s="52" t="s">
        <v>1483</v>
      </c>
      <c r="L5" s="52">
        <v>34.0</v>
      </c>
      <c r="M5" s="52">
        <v>26.0</v>
      </c>
      <c r="N5" s="52" t="s">
        <v>51</v>
      </c>
      <c r="O5" s="52" t="s">
        <v>1484</v>
      </c>
      <c r="P5" s="52" t="s">
        <v>587</v>
      </c>
      <c r="Q5" s="52" t="s">
        <v>1484</v>
      </c>
      <c r="R5" s="52" t="s">
        <v>1485</v>
      </c>
      <c r="S5" s="52">
        <v>6.26515E7</v>
      </c>
      <c r="T5" s="52">
        <v>2225.0</v>
      </c>
      <c r="U5" s="52">
        <v>1125.0</v>
      </c>
      <c r="V5" s="52" t="s">
        <v>53</v>
      </c>
      <c r="W5" s="69">
        <v>45666.0</v>
      </c>
      <c r="X5" s="70">
        <v>46014.0</v>
      </c>
      <c r="Y5" s="52">
        <v>7.0</v>
      </c>
      <c r="Z5" s="70">
        <v>46022.0</v>
      </c>
      <c r="AA5" s="52" t="s">
        <v>42</v>
      </c>
    </row>
    <row r="6">
      <c r="A6" s="52">
        <v>4.0</v>
      </c>
      <c r="B6" s="52" t="s">
        <v>55</v>
      </c>
      <c r="C6" s="52" t="s">
        <v>57</v>
      </c>
      <c r="D6" s="52" t="s">
        <v>41</v>
      </c>
      <c r="E6" s="52" t="s">
        <v>1477</v>
      </c>
      <c r="F6" s="52" t="s">
        <v>1478</v>
      </c>
      <c r="G6" s="52" t="s">
        <v>1471</v>
      </c>
      <c r="H6" s="52" t="s">
        <v>583</v>
      </c>
      <c r="I6" s="52" t="s">
        <v>1479</v>
      </c>
      <c r="J6" s="52">
        <v>13.0</v>
      </c>
      <c r="K6" s="52" t="s">
        <v>1473</v>
      </c>
      <c r="L6" s="52">
        <v>31.0</v>
      </c>
      <c r="M6" s="52">
        <v>31.0</v>
      </c>
      <c r="N6" s="52" t="s">
        <v>56</v>
      </c>
      <c r="O6" s="52" t="s">
        <v>1486</v>
      </c>
      <c r="P6" s="52" t="s">
        <v>587</v>
      </c>
      <c r="Q6" s="52" t="s">
        <v>1486</v>
      </c>
      <c r="S6" s="52">
        <v>4.2E7</v>
      </c>
      <c r="T6" s="52">
        <v>2125.0</v>
      </c>
      <c r="U6" s="52">
        <v>1025.0</v>
      </c>
      <c r="V6" s="52" t="s">
        <v>47</v>
      </c>
      <c r="W6" s="69">
        <v>45665.0</v>
      </c>
      <c r="X6" s="70">
        <v>45876.0</v>
      </c>
      <c r="Z6" s="70">
        <v>45876.0</v>
      </c>
      <c r="AA6" s="52" t="s">
        <v>42</v>
      </c>
    </row>
    <row r="7">
      <c r="A7" s="52">
        <v>5.0</v>
      </c>
      <c r="B7" s="52" t="s">
        <v>59</v>
      </c>
      <c r="C7" s="52" t="s">
        <v>61</v>
      </c>
      <c r="D7" s="52" t="s">
        <v>41</v>
      </c>
      <c r="E7" s="52" t="s">
        <v>1487</v>
      </c>
      <c r="F7" s="52" t="s">
        <v>1478</v>
      </c>
      <c r="G7" s="52" t="s">
        <v>1471</v>
      </c>
      <c r="H7" s="52" t="s">
        <v>583</v>
      </c>
      <c r="I7" s="52" t="s">
        <v>1479</v>
      </c>
      <c r="J7" s="52">
        <v>15.0</v>
      </c>
      <c r="K7" s="52" t="s">
        <v>1473</v>
      </c>
      <c r="L7" s="52">
        <v>56.0</v>
      </c>
      <c r="M7" s="52">
        <v>23.0</v>
      </c>
      <c r="N7" s="52" t="s">
        <v>60</v>
      </c>
      <c r="O7" s="52" t="s">
        <v>1488</v>
      </c>
      <c r="P7" s="52" t="s">
        <v>587</v>
      </c>
      <c r="Q7" s="52" t="s">
        <v>1488</v>
      </c>
      <c r="S7" s="52">
        <v>7.7E7</v>
      </c>
      <c r="T7" s="52">
        <v>1125.0</v>
      </c>
      <c r="U7" s="52">
        <v>1325.0</v>
      </c>
      <c r="V7" s="52" t="s">
        <v>62</v>
      </c>
      <c r="W7" s="69">
        <v>45666.0</v>
      </c>
      <c r="X7" s="70">
        <v>45999.0</v>
      </c>
      <c r="Z7" s="70">
        <v>45999.0</v>
      </c>
      <c r="AA7" s="52" t="s">
        <v>42</v>
      </c>
    </row>
    <row r="8">
      <c r="A8" s="52">
        <v>6.0</v>
      </c>
      <c r="B8" s="52" t="s">
        <v>64</v>
      </c>
      <c r="C8" s="52" t="s">
        <v>66</v>
      </c>
      <c r="D8" s="52" t="s">
        <v>41</v>
      </c>
      <c r="E8" s="52" t="s">
        <v>1489</v>
      </c>
      <c r="F8" s="52" t="s">
        <v>1478</v>
      </c>
      <c r="G8" s="52" t="s">
        <v>1471</v>
      </c>
      <c r="H8" s="52" t="s">
        <v>583</v>
      </c>
      <c r="I8" s="52" t="s">
        <v>1479</v>
      </c>
      <c r="J8" s="52">
        <v>13.0</v>
      </c>
      <c r="K8" s="52" t="s">
        <v>1473</v>
      </c>
      <c r="L8" s="52">
        <v>80.0</v>
      </c>
      <c r="M8" s="52">
        <v>33.0</v>
      </c>
      <c r="N8" s="52" t="s">
        <v>65</v>
      </c>
      <c r="O8" s="52" t="s">
        <v>1490</v>
      </c>
      <c r="P8" s="52" t="s">
        <v>587</v>
      </c>
      <c r="Q8" s="52" t="s">
        <v>1490</v>
      </c>
      <c r="R8" s="52" t="s">
        <v>1491</v>
      </c>
      <c r="S8" s="52">
        <v>3.6E7</v>
      </c>
      <c r="T8" s="52">
        <v>2025.0</v>
      </c>
      <c r="U8" s="52">
        <v>1425.0</v>
      </c>
      <c r="V8" s="52" t="s">
        <v>67</v>
      </c>
      <c r="W8" s="69">
        <v>45666.0</v>
      </c>
      <c r="X8" s="70">
        <v>45755.0</v>
      </c>
      <c r="Y8" s="52">
        <v>90.0</v>
      </c>
      <c r="Z8" s="70">
        <v>45846.0</v>
      </c>
      <c r="AA8" s="52" t="s">
        <v>42</v>
      </c>
    </row>
    <row r="9">
      <c r="A9" s="52">
        <v>7.0</v>
      </c>
      <c r="B9" s="52" t="s">
        <v>88</v>
      </c>
      <c r="C9" s="52" t="s">
        <v>1492</v>
      </c>
      <c r="D9" s="52" t="s">
        <v>1469</v>
      </c>
      <c r="E9" s="52" t="s">
        <v>1469</v>
      </c>
      <c r="F9" s="52" t="s">
        <v>1470</v>
      </c>
      <c r="G9" s="52" t="s">
        <v>1471</v>
      </c>
      <c r="H9" s="52" t="s">
        <v>583</v>
      </c>
      <c r="I9" s="52" t="s">
        <v>1493</v>
      </c>
      <c r="J9" s="52">
        <v>17.0</v>
      </c>
      <c r="K9" s="52" t="s">
        <v>1473</v>
      </c>
      <c r="L9" s="52">
        <v>38.0</v>
      </c>
      <c r="M9" s="52">
        <v>38.0</v>
      </c>
      <c r="N9" s="52" t="s">
        <v>1494</v>
      </c>
      <c r="O9" s="52" t="s">
        <v>1495</v>
      </c>
      <c r="P9" s="52" t="s">
        <v>587</v>
      </c>
      <c r="Q9" s="52" t="s">
        <v>1495</v>
      </c>
      <c r="S9" s="52">
        <v>9.13353E7</v>
      </c>
      <c r="T9" s="52">
        <v>1525.0</v>
      </c>
      <c r="U9" s="52">
        <v>1225.0</v>
      </c>
      <c r="V9" s="52" t="s">
        <v>91</v>
      </c>
      <c r="W9" s="69">
        <v>45666.0</v>
      </c>
      <c r="X9" s="70">
        <v>46014.0</v>
      </c>
      <c r="Z9" s="70">
        <v>46014.0</v>
      </c>
      <c r="AA9" s="52" t="s">
        <v>42</v>
      </c>
    </row>
    <row r="10">
      <c r="A10" s="52">
        <v>8.0</v>
      </c>
      <c r="B10" s="52" t="s">
        <v>95</v>
      </c>
      <c r="C10" s="52" t="s">
        <v>1496</v>
      </c>
      <c r="D10" s="52" t="s">
        <v>1497</v>
      </c>
      <c r="E10" s="52" t="s">
        <v>1497</v>
      </c>
      <c r="F10" s="52" t="s">
        <v>1478</v>
      </c>
      <c r="G10" s="52" t="s">
        <v>1471</v>
      </c>
      <c r="H10" s="52" t="s">
        <v>583</v>
      </c>
      <c r="I10" s="52" t="s">
        <v>1479</v>
      </c>
      <c r="J10" s="52">
        <v>23.0</v>
      </c>
      <c r="K10" s="52" t="s">
        <v>1473</v>
      </c>
      <c r="L10" s="52">
        <v>67.0</v>
      </c>
      <c r="M10" s="52">
        <v>44.0</v>
      </c>
      <c r="N10" s="52" t="s">
        <v>1498</v>
      </c>
      <c r="O10" s="52" t="s">
        <v>1499</v>
      </c>
      <c r="P10" s="52">
        <v>1.2E7</v>
      </c>
      <c r="Q10" s="52" t="s">
        <v>1500</v>
      </c>
      <c r="S10" s="52">
        <v>1.5E8</v>
      </c>
      <c r="T10" s="52">
        <v>3625.0</v>
      </c>
      <c r="U10" s="52">
        <v>2125.0</v>
      </c>
      <c r="V10" s="52" t="s">
        <v>98</v>
      </c>
      <c r="W10" s="69">
        <v>45667.0</v>
      </c>
      <c r="X10" s="70">
        <v>46015.0</v>
      </c>
      <c r="Z10" s="70">
        <v>46015.0</v>
      </c>
      <c r="AA10" s="52" t="s">
        <v>42</v>
      </c>
    </row>
    <row r="11">
      <c r="A11" s="52">
        <v>9.0</v>
      </c>
      <c r="B11" s="52" t="s">
        <v>102</v>
      </c>
      <c r="C11" s="52" t="s">
        <v>1501</v>
      </c>
      <c r="D11" s="52" t="s">
        <v>1497</v>
      </c>
      <c r="E11" s="52" t="s">
        <v>1497</v>
      </c>
      <c r="F11" s="52" t="s">
        <v>1478</v>
      </c>
      <c r="G11" s="52" t="s">
        <v>1471</v>
      </c>
      <c r="H11" s="52" t="s">
        <v>583</v>
      </c>
      <c r="I11" s="52" t="s">
        <v>1472</v>
      </c>
      <c r="J11" s="52">
        <v>16.0</v>
      </c>
      <c r="K11" s="52" t="s">
        <v>1473</v>
      </c>
      <c r="L11" s="52">
        <v>40.0</v>
      </c>
      <c r="M11" s="52">
        <v>22.0</v>
      </c>
      <c r="N11" s="52" t="s">
        <v>103</v>
      </c>
      <c r="O11" s="52" t="s">
        <v>1502</v>
      </c>
      <c r="P11" s="52" t="s">
        <v>587</v>
      </c>
      <c r="Q11" s="52" t="s">
        <v>1502</v>
      </c>
      <c r="S11" s="52">
        <v>8.625E7</v>
      </c>
      <c r="T11" s="52">
        <v>3525.0</v>
      </c>
      <c r="U11" s="52">
        <v>1525.0</v>
      </c>
      <c r="V11" s="52" t="s">
        <v>77</v>
      </c>
      <c r="W11" s="69">
        <v>45666.0</v>
      </c>
      <c r="X11" s="70">
        <v>46014.0</v>
      </c>
      <c r="Z11" s="70">
        <v>46014.0</v>
      </c>
      <c r="AA11" s="52" t="s">
        <v>42</v>
      </c>
    </row>
    <row r="12">
      <c r="A12" s="52">
        <v>10.0</v>
      </c>
      <c r="B12" s="52" t="s">
        <v>108</v>
      </c>
      <c r="C12" s="52" t="s">
        <v>110</v>
      </c>
      <c r="D12" s="52" t="s">
        <v>1503</v>
      </c>
      <c r="E12" s="52" t="s">
        <v>1503</v>
      </c>
      <c r="F12" s="52" t="s">
        <v>1478</v>
      </c>
      <c r="G12" s="52" t="s">
        <v>1471</v>
      </c>
      <c r="H12" s="52" t="s">
        <v>583</v>
      </c>
      <c r="I12" s="52" t="s">
        <v>1504</v>
      </c>
      <c r="J12" s="52">
        <v>19.0</v>
      </c>
      <c r="K12" s="52" t="s">
        <v>1473</v>
      </c>
      <c r="L12" s="52">
        <v>160.0</v>
      </c>
      <c r="M12" s="52">
        <v>43.0</v>
      </c>
      <c r="N12" s="52" t="s">
        <v>1505</v>
      </c>
      <c r="O12" s="52" t="s">
        <v>1506</v>
      </c>
      <c r="P12" s="52" t="s">
        <v>587</v>
      </c>
      <c r="Q12" s="52" t="s">
        <v>1506</v>
      </c>
      <c r="S12" s="52">
        <v>1.035E8</v>
      </c>
      <c r="T12" s="52">
        <v>824.0</v>
      </c>
      <c r="U12" s="52">
        <v>2225.0</v>
      </c>
      <c r="V12" s="52" t="s">
        <v>111</v>
      </c>
      <c r="W12" s="69">
        <v>45667.0</v>
      </c>
      <c r="X12" s="70">
        <v>46015.0</v>
      </c>
      <c r="Z12" s="70">
        <v>46015.0</v>
      </c>
      <c r="AA12" s="52" t="s">
        <v>42</v>
      </c>
    </row>
    <row r="13">
      <c r="A13" s="52">
        <v>11.0</v>
      </c>
      <c r="B13" s="52" t="s">
        <v>115</v>
      </c>
      <c r="C13" s="52" t="s">
        <v>117</v>
      </c>
      <c r="D13" s="52" t="s">
        <v>1497</v>
      </c>
      <c r="E13" s="52" t="s">
        <v>1497</v>
      </c>
      <c r="F13" s="52" t="s">
        <v>1478</v>
      </c>
      <c r="G13" s="52" t="s">
        <v>1471</v>
      </c>
      <c r="H13" s="52" t="s">
        <v>583</v>
      </c>
      <c r="I13" s="52" t="s">
        <v>1507</v>
      </c>
      <c r="J13" s="52">
        <v>17.0</v>
      </c>
      <c r="K13" s="52" t="s">
        <v>1473</v>
      </c>
      <c r="L13" s="52">
        <v>44.0</v>
      </c>
      <c r="M13" s="52">
        <v>30.0</v>
      </c>
      <c r="N13" s="52" t="s">
        <v>116</v>
      </c>
      <c r="O13" s="52" t="s">
        <v>1508</v>
      </c>
      <c r="P13" s="52">
        <v>2000000.0</v>
      </c>
      <c r="Q13" s="52" t="s">
        <v>1509</v>
      </c>
      <c r="S13" s="52">
        <v>9.4E7</v>
      </c>
      <c r="T13" s="52">
        <v>4525.0</v>
      </c>
      <c r="U13" s="52">
        <v>2025.0</v>
      </c>
      <c r="V13" s="52" t="s">
        <v>77</v>
      </c>
      <c r="W13" s="69">
        <v>45667.0</v>
      </c>
      <c r="X13" s="70">
        <v>46014.0</v>
      </c>
      <c r="Z13" s="70">
        <v>46014.0</v>
      </c>
      <c r="AA13" s="52" t="s">
        <v>42</v>
      </c>
    </row>
    <row r="14">
      <c r="A14" s="52">
        <v>12.0</v>
      </c>
      <c r="B14" s="52" t="s">
        <v>119</v>
      </c>
      <c r="C14" s="52" t="s">
        <v>121</v>
      </c>
      <c r="D14" s="52" t="s">
        <v>1469</v>
      </c>
      <c r="E14" s="52" t="s">
        <v>1469</v>
      </c>
      <c r="F14" s="52" t="s">
        <v>1478</v>
      </c>
      <c r="G14" s="52" t="s">
        <v>1471</v>
      </c>
      <c r="H14" s="52" t="s">
        <v>583</v>
      </c>
      <c r="I14" s="52" t="s">
        <v>1510</v>
      </c>
      <c r="J14" s="52">
        <v>2.0</v>
      </c>
      <c r="K14" s="52" t="s">
        <v>1483</v>
      </c>
      <c r="L14" s="52">
        <v>0.0</v>
      </c>
      <c r="M14" s="52">
        <v>0.0</v>
      </c>
      <c r="N14" s="52" t="s">
        <v>120</v>
      </c>
      <c r="O14" s="52" t="s">
        <v>1511</v>
      </c>
      <c r="P14" s="52" t="s">
        <v>587</v>
      </c>
      <c r="Q14" s="52" t="s">
        <v>1511</v>
      </c>
      <c r="R14" s="52" t="s">
        <v>1512</v>
      </c>
      <c r="S14" s="52">
        <v>3.854928E7</v>
      </c>
      <c r="T14" s="52">
        <v>4125.0</v>
      </c>
      <c r="U14" s="52">
        <v>1625.0</v>
      </c>
      <c r="V14" s="52" t="s">
        <v>91</v>
      </c>
      <c r="W14" s="69">
        <v>45666.0</v>
      </c>
      <c r="X14" s="70">
        <v>45846.0</v>
      </c>
      <c r="Y14" s="52">
        <v>172.0</v>
      </c>
      <c r="Z14" s="70">
        <v>46022.0</v>
      </c>
      <c r="AA14" s="52" t="s">
        <v>42</v>
      </c>
    </row>
    <row r="15">
      <c r="A15" s="52">
        <v>13.0</v>
      </c>
      <c r="B15" s="52" t="s">
        <v>124</v>
      </c>
      <c r="C15" s="52" t="s">
        <v>126</v>
      </c>
      <c r="D15" s="52" t="s">
        <v>1513</v>
      </c>
      <c r="E15" s="52" t="s">
        <v>1513</v>
      </c>
      <c r="F15" s="52" t="s">
        <v>1470</v>
      </c>
      <c r="G15" s="52" t="s">
        <v>1471</v>
      </c>
      <c r="H15" s="52" t="s">
        <v>583</v>
      </c>
      <c r="I15" s="52" t="s">
        <v>1507</v>
      </c>
      <c r="J15" s="52">
        <v>19.0</v>
      </c>
      <c r="K15" s="52" t="s">
        <v>1473</v>
      </c>
      <c r="L15" s="52">
        <v>55.0</v>
      </c>
      <c r="M15" s="52">
        <v>38.0</v>
      </c>
      <c r="N15" s="52" t="s">
        <v>125</v>
      </c>
      <c r="O15" s="52" t="s">
        <v>1514</v>
      </c>
      <c r="P15" s="52" t="s">
        <v>587</v>
      </c>
      <c r="Q15" s="52" t="s">
        <v>1514</v>
      </c>
      <c r="S15" s="52">
        <v>1.0925E8</v>
      </c>
      <c r="T15" s="52">
        <v>1225.0</v>
      </c>
      <c r="U15" s="52">
        <v>1725.0</v>
      </c>
      <c r="V15" s="52" t="s">
        <v>91</v>
      </c>
      <c r="W15" s="69">
        <v>45666.0</v>
      </c>
      <c r="X15" s="70">
        <v>46014.0</v>
      </c>
      <c r="Z15" s="70">
        <v>46014.0</v>
      </c>
      <c r="AA15" s="52" t="s">
        <v>42</v>
      </c>
    </row>
    <row r="16">
      <c r="A16" s="52">
        <v>14.0</v>
      </c>
      <c r="B16" s="52" t="s">
        <v>130</v>
      </c>
      <c r="C16" s="52" t="s">
        <v>132</v>
      </c>
      <c r="D16" s="52" t="s">
        <v>1487</v>
      </c>
      <c r="E16" s="52" t="s">
        <v>1487</v>
      </c>
      <c r="F16" s="52" t="s">
        <v>1478</v>
      </c>
      <c r="G16" s="52" t="s">
        <v>1471</v>
      </c>
      <c r="H16" s="52" t="s">
        <v>583</v>
      </c>
      <c r="I16" s="52" t="s">
        <v>1515</v>
      </c>
      <c r="J16" s="52">
        <v>16.0</v>
      </c>
      <c r="K16" s="52" t="s">
        <v>1473</v>
      </c>
      <c r="L16" s="52">
        <v>34.0</v>
      </c>
      <c r="M16" s="52">
        <v>21.0</v>
      </c>
      <c r="N16" s="52" t="s">
        <v>1516</v>
      </c>
      <c r="O16" s="52" t="s">
        <v>1517</v>
      </c>
      <c r="P16" s="52" t="s">
        <v>587</v>
      </c>
      <c r="Q16" s="52" t="s">
        <v>1517</v>
      </c>
      <c r="S16" s="52">
        <v>8.008E7</v>
      </c>
      <c r="T16" s="52">
        <v>1425.0</v>
      </c>
      <c r="U16" s="52">
        <v>3225.0</v>
      </c>
      <c r="V16" s="52" t="s">
        <v>62</v>
      </c>
      <c r="W16" s="69">
        <v>45667.0</v>
      </c>
      <c r="X16" s="70">
        <v>46000.0</v>
      </c>
      <c r="Z16" s="70">
        <v>46000.0</v>
      </c>
      <c r="AA16" s="52" t="s">
        <v>42</v>
      </c>
    </row>
    <row r="17">
      <c r="A17" s="52">
        <v>15.0</v>
      </c>
      <c r="B17" s="52" t="s">
        <v>136</v>
      </c>
      <c r="C17" s="52" t="s">
        <v>1518</v>
      </c>
      <c r="D17" s="52" t="s">
        <v>1477</v>
      </c>
      <c r="E17" s="52" t="s">
        <v>1477</v>
      </c>
      <c r="F17" s="52" t="s">
        <v>1478</v>
      </c>
      <c r="G17" s="52" t="s">
        <v>1471</v>
      </c>
      <c r="H17" s="52" t="s">
        <v>583</v>
      </c>
      <c r="I17" s="52" t="s">
        <v>1479</v>
      </c>
      <c r="J17" s="52">
        <v>18.0</v>
      </c>
      <c r="K17" s="52" t="s">
        <v>1473</v>
      </c>
      <c r="L17" s="52">
        <v>41.0</v>
      </c>
      <c r="M17" s="52">
        <v>33.0</v>
      </c>
      <c r="N17" s="52" t="s">
        <v>137</v>
      </c>
      <c r="O17" s="52" t="s">
        <v>1519</v>
      </c>
      <c r="P17" s="52" t="s">
        <v>587</v>
      </c>
      <c r="Q17" s="52" t="s">
        <v>1519</v>
      </c>
      <c r="S17" s="52">
        <v>8.925E7</v>
      </c>
      <c r="T17" s="52">
        <v>2725.0</v>
      </c>
      <c r="U17" s="52">
        <v>2325.0</v>
      </c>
      <c r="V17" s="52" t="s">
        <v>47</v>
      </c>
      <c r="W17" s="69">
        <v>45667.0</v>
      </c>
      <c r="X17" s="70">
        <v>45985.0</v>
      </c>
      <c r="Z17" s="70">
        <v>45985.0</v>
      </c>
      <c r="AA17" s="52" t="s">
        <v>1475</v>
      </c>
    </row>
    <row r="18">
      <c r="A18" s="52">
        <v>16.0</v>
      </c>
      <c r="B18" s="52" t="s">
        <v>149</v>
      </c>
      <c r="C18" s="52" t="s">
        <v>151</v>
      </c>
      <c r="D18" s="52" t="s">
        <v>1520</v>
      </c>
      <c r="E18" s="52" t="s">
        <v>1520</v>
      </c>
      <c r="F18" s="52" t="s">
        <v>1478</v>
      </c>
      <c r="G18" s="52" t="s">
        <v>1471</v>
      </c>
      <c r="H18" s="52" t="s">
        <v>583</v>
      </c>
      <c r="I18" s="52" t="s">
        <v>1521</v>
      </c>
      <c r="J18" s="52">
        <v>19.0</v>
      </c>
      <c r="K18" s="52" t="s">
        <v>1473</v>
      </c>
      <c r="L18" s="52">
        <v>38.0</v>
      </c>
      <c r="M18" s="52">
        <v>28.0</v>
      </c>
      <c r="N18" s="52" t="s">
        <v>150</v>
      </c>
      <c r="O18" s="52" t="s">
        <v>1522</v>
      </c>
      <c r="P18" s="52" t="s">
        <v>587</v>
      </c>
      <c r="Q18" s="52" t="s">
        <v>1522</v>
      </c>
      <c r="R18" s="52">
        <v>-899745.0</v>
      </c>
      <c r="S18" s="52">
        <v>1.0437042E8</v>
      </c>
      <c r="T18" s="52">
        <v>3825.0</v>
      </c>
      <c r="U18" s="52">
        <v>3425.0</v>
      </c>
      <c r="V18" s="52" t="s">
        <v>152</v>
      </c>
      <c r="W18" s="69">
        <v>45670.0</v>
      </c>
      <c r="X18" s="70">
        <v>46022.0</v>
      </c>
      <c r="Z18" s="70">
        <v>46022.0</v>
      </c>
      <c r="AA18" s="52" t="s">
        <v>42</v>
      </c>
    </row>
    <row r="19">
      <c r="A19" s="52">
        <v>17.0</v>
      </c>
      <c r="B19" s="52" t="s">
        <v>160</v>
      </c>
      <c r="C19" s="52" t="s">
        <v>162</v>
      </c>
      <c r="D19" s="52" t="s">
        <v>1469</v>
      </c>
      <c r="E19" s="52" t="s">
        <v>1469</v>
      </c>
      <c r="F19" s="52" t="s">
        <v>1470</v>
      </c>
      <c r="G19" s="52" t="s">
        <v>1471</v>
      </c>
      <c r="H19" s="52" t="s">
        <v>583</v>
      </c>
      <c r="I19" s="52" t="s">
        <v>1521</v>
      </c>
      <c r="J19" s="52">
        <v>18.0</v>
      </c>
      <c r="K19" s="52" t="s">
        <v>1473</v>
      </c>
      <c r="L19" s="52">
        <v>121.0</v>
      </c>
      <c r="M19" s="52">
        <v>114.0</v>
      </c>
      <c r="N19" s="52" t="s">
        <v>161</v>
      </c>
      <c r="O19" s="52" t="s">
        <v>1523</v>
      </c>
      <c r="P19" s="52" t="s">
        <v>1524</v>
      </c>
      <c r="Q19" s="52" t="s">
        <v>1525</v>
      </c>
      <c r="S19" s="52">
        <v>9.815E7</v>
      </c>
      <c r="T19" s="52">
        <v>2825.0</v>
      </c>
      <c r="U19" s="52">
        <v>2425.0</v>
      </c>
      <c r="V19" s="52" t="s">
        <v>163</v>
      </c>
      <c r="W19" s="69">
        <v>45667.0</v>
      </c>
      <c r="X19" s="70">
        <v>46000.0</v>
      </c>
      <c r="Z19" s="70">
        <v>46000.0</v>
      </c>
      <c r="AA19" s="52" t="s">
        <v>42</v>
      </c>
    </row>
    <row r="20">
      <c r="A20" s="52">
        <v>18.0</v>
      </c>
      <c r="B20" s="52" t="s">
        <v>167</v>
      </c>
      <c r="C20" s="52" t="s">
        <v>169</v>
      </c>
      <c r="D20" s="52" t="s">
        <v>1469</v>
      </c>
      <c r="E20" s="52" t="s">
        <v>1469</v>
      </c>
      <c r="F20" s="52" t="s">
        <v>1470</v>
      </c>
      <c r="G20" s="52" t="s">
        <v>1471</v>
      </c>
      <c r="H20" s="52" t="s">
        <v>583</v>
      </c>
      <c r="I20" s="52" t="s">
        <v>1526</v>
      </c>
      <c r="J20" s="52">
        <v>7.0</v>
      </c>
      <c r="K20" s="52" t="s">
        <v>1483</v>
      </c>
      <c r="L20" s="52">
        <v>27.0</v>
      </c>
      <c r="M20" s="52">
        <v>27.0</v>
      </c>
      <c r="N20" s="52" t="s">
        <v>168</v>
      </c>
      <c r="O20" s="52" t="s">
        <v>1527</v>
      </c>
      <c r="P20" s="52" t="s">
        <v>587</v>
      </c>
      <c r="Q20" s="52" t="s">
        <v>1527</v>
      </c>
      <c r="S20" s="52">
        <v>4.81173E7</v>
      </c>
      <c r="T20" s="52">
        <v>3425.0</v>
      </c>
      <c r="U20" s="52">
        <v>2625.0</v>
      </c>
      <c r="V20" s="52" t="s">
        <v>91</v>
      </c>
      <c r="W20" s="69">
        <v>45667.0</v>
      </c>
      <c r="X20" s="70">
        <v>46000.0</v>
      </c>
      <c r="Z20" s="70">
        <v>46000.0</v>
      </c>
      <c r="AA20" s="52" t="s">
        <v>42</v>
      </c>
    </row>
    <row r="21">
      <c r="A21" s="52">
        <v>19.0</v>
      </c>
      <c r="B21" s="52" t="s">
        <v>172</v>
      </c>
      <c r="C21" s="52" t="s">
        <v>174</v>
      </c>
      <c r="D21" s="52" t="s">
        <v>1469</v>
      </c>
      <c r="E21" s="52" t="s">
        <v>1469</v>
      </c>
      <c r="F21" s="52" t="s">
        <v>1470</v>
      </c>
      <c r="G21" s="52" t="s">
        <v>1471</v>
      </c>
      <c r="H21" s="52" t="s">
        <v>583</v>
      </c>
      <c r="I21" s="52" t="s">
        <v>1479</v>
      </c>
      <c r="J21" s="52">
        <v>19.0</v>
      </c>
      <c r="K21" s="52" t="s">
        <v>1473</v>
      </c>
      <c r="L21" s="52">
        <v>47.0</v>
      </c>
      <c r="M21" s="52">
        <v>47.0</v>
      </c>
      <c r="N21" s="52" t="s">
        <v>173</v>
      </c>
      <c r="O21" s="52" t="s">
        <v>1506</v>
      </c>
      <c r="P21" s="52" t="s">
        <v>587</v>
      </c>
      <c r="Q21" s="52" t="s">
        <v>1506</v>
      </c>
      <c r="S21" s="52">
        <v>1.035E8</v>
      </c>
      <c r="T21" s="52">
        <v>4025.0</v>
      </c>
      <c r="U21" s="52">
        <v>2725.0</v>
      </c>
      <c r="V21" s="52" t="s">
        <v>38</v>
      </c>
      <c r="W21" s="69">
        <v>45667.0</v>
      </c>
      <c r="X21" s="70">
        <v>46016.0</v>
      </c>
      <c r="Z21" s="70">
        <v>46016.0</v>
      </c>
      <c r="AA21" s="52" t="s">
        <v>42</v>
      </c>
    </row>
    <row r="22">
      <c r="A22" s="52">
        <v>20.0</v>
      </c>
      <c r="B22" s="52" t="s">
        <v>178</v>
      </c>
      <c r="C22" s="52" t="s">
        <v>180</v>
      </c>
      <c r="D22" s="52" t="s">
        <v>1482</v>
      </c>
      <c r="E22" s="52" t="s">
        <v>1482</v>
      </c>
      <c r="F22" s="52" t="s">
        <v>1478</v>
      </c>
      <c r="G22" s="52" t="s">
        <v>1471</v>
      </c>
      <c r="H22" s="52" t="s">
        <v>583</v>
      </c>
      <c r="I22" s="52" t="s">
        <v>1528</v>
      </c>
      <c r="J22" s="52">
        <v>18.0</v>
      </c>
      <c r="K22" s="52" t="s">
        <v>1473</v>
      </c>
      <c r="L22" s="52">
        <v>54.0</v>
      </c>
      <c r="M22" s="52">
        <v>54.0</v>
      </c>
      <c r="N22" s="52" t="s">
        <v>1529</v>
      </c>
      <c r="O22" s="52" t="s">
        <v>1530</v>
      </c>
      <c r="P22" s="52" t="s">
        <v>587</v>
      </c>
      <c r="Q22" s="52" t="s">
        <v>1530</v>
      </c>
      <c r="R22" s="52" t="s">
        <v>1531</v>
      </c>
      <c r="S22" s="52">
        <v>1.0426455E8</v>
      </c>
      <c r="T22" s="52">
        <v>3125.0</v>
      </c>
      <c r="U22" s="52">
        <v>3025.0</v>
      </c>
      <c r="V22" s="52" t="s">
        <v>53</v>
      </c>
      <c r="W22" s="69">
        <v>45667.0</v>
      </c>
      <c r="X22" s="70">
        <v>46016.0</v>
      </c>
      <c r="Y22" s="52">
        <v>6.0</v>
      </c>
      <c r="Z22" s="70">
        <v>46022.0</v>
      </c>
      <c r="AA22" s="52" t="s">
        <v>42</v>
      </c>
    </row>
    <row r="23">
      <c r="A23" s="52">
        <v>21.0</v>
      </c>
      <c r="B23" s="52" t="s">
        <v>184</v>
      </c>
      <c r="C23" s="52" t="s">
        <v>186</v>
      </c>
      <c r="D23" s="52" t="s">
        <v>1482</v>
      </c>
      <c r="E23" s="52" t="s">
        <v>1482</v>
      </c>
      <c r="F23" s="52" t="s">
        <v>1478</v>
      </c>
      <c r="G23" s="52" t="s">
        <v>1471</v>
      </c>
      <c r="H23" s="52" t="s">
        <v>583</v>
      </c>
      <c r="I23" s="52" t="s">
        <v>1504</v>
      </c>
      <c r="J23" s="52">
        <v>18.0</v>
      </c>
      <c r="K23" s="52" t="s">
        <v>1473</v>
      </c>
      <c r="L23" s="52">
        <v>44.0</v>
      </c>
      <c r="M23" s="52">
        <v>44.0</v>
      </c>
      <c r="N23" s="52" t="s">
        <v>185</v>
      </c>
      <c r="O23" s="52" t="s">
        <v>1530</v>
      </c>
      <c r="P23" s="52" t="s">
        <v>587</v>
      </c>
      <c r="Q23" s="52" t="s">
        <v>1530</v>
      </c>
      <c r="R23" s="52" t="s">
        <v>1531</v>
      </c>
      <c r="S23" s="52">
        <v>1.0426455E8</v>
      </c>
      <c r="T23" s="52">
        <v>3025.0</v>
      </c>
      <c r="U23" s="52">
        <v>2825.0</v>
      </c>
      <c r="V23" s="52" t="s">
        <v>53</v>
      </c>
      <c r="W23" s="69">
        <v>45667.0</v>
      </c>
      <c r="X23" s="70">
        <v>46016.0</v>
      </c>
      <c r="Y23" s="52">
        <v>6.0</v>
      </c>
      <c r="Z23" s="70">
        <v>46022.0</v>
      </c>
      <c r="AA23" s="52" t="s">
        <v>42</v>
      </c>
    </row>
    <row r="24">
      <c r="A24" s="52">
        <v>22.0</v>
      </c>
      <c r="B24" s="52" t="s">
        <v>200</v>
      </c>
      <c r="C24" s="52" t="s">
        <v>202</v>
      </c>
      <c r="D24" s="52" t="s">
        <v>1513</v>
      </c>
      <c r="E24" s="52" t="s">
        <v>1513</v>
      </c>
      <c r="F24" s="52" t="s">
        <v>1478</v>
      </c>
      <c r="G24" s="52" t="s">
        <v>1471</v>
      </c>
      <c r="H24" s="52" t="s">
        <v>583</v>
      </c>
      <c r="I24" s="52" t="s">
        <v>1532</v>
      </c>
      <c r="J24" s="52">
        <v>20.0</v>
      </c>
      <c r="K24" s="52" t="s">
        <v>1473</v>
      </c>
      <c r="L24" s="52">
        <v>51.0</v>
      </c>
      <c r="M24" s="52">
        <v>51.0</v>
      </c>
      <c r="N24" s="52" t="s">
        <v>1533</v>
      </c>
      <c r="O24" s="52" t="s">
        <v>1534</v>
      </c>
      <c r="P24" s="52" t="s">
        <v>587</v>
      </c>
      <c r="Q24" s="52" t="s">
        <v>1534</v>
      </c>
      <c r="S24" s="52">
        <v>1.15E8</v>
      </c>
      <c r="T24" s="52">
        <v>1025.0</v>
      </c>
      <c r="U24" s="52">
        <v>2925.0</v>
      </c>
      <c r="V24" s="52" t="s">
        <v>203</v>
      </c>
      <c r="W24" s="69">
        <v>45667.0</v>
      </c>
      <c r="X24" s="70">
        <v>46016.0</v>
      </c>
      <c r="Z24" s="70">
        <v>46016.0</v>
      </c>
      <c r="AA24" s="52" t="s">
        <v>42</v>
      </c>
    </row>
    <row r="25">
      <c r="A25" s="52">
        <v>23.0</v>
      </c>
      <c r="B25" s="52" t="s">
        <v>207</v>
      </c>
      <c r="C25" s="52" t="s">
        <v>209</v>
      </c>
      <c r="D25" s="52" t="s">
        <v>1513</v>
      </c>
      <c r="E25" s="52" t="s">
        <v>1513</v>
      </c>
      <c r="F25" s="52" t="s">
        <v>1470</v>
      </c>
      <c r="G25" s="52" t="s">
        <v>1471</v>
      </c>
      <c r="H25" s="52" t="s">
        <v>583</v>
      </c>
      <c r="I25" s="52" t="s">
        <v>1507</v>
      </c>
      <c r="J25" s="52">
        <v>21.0</v>
      </c>
      <c r="K25" s="52" t="s">
        <v>1473</v>
      </c>
      <c r="L25" s="52">
        <v>59.0</v>
      </c>
      <c r="M25" s="52">
        <v>59.0</v>
      </c>
      <c r="N25" s="52" t="s">
        <v>208</v>
      </c>
      <c r="O25" s="52" t="s">
        <v>1480</v>
      </c>
      <c r="P25" s="52" t="s">
        <v>587</v>
      </c>
      <c r="Q25" s="52" t="s">
        <v>1480</v>
      </c>
      <c r="S25" s="52">
        <v>1.265E8</v>
      </c>
      <c r="T25" s="52">
        <v>925.0</v>
      </c>
      <c r="U25" s="52">
        <v>3825.0</v>
      </c>
      <c r="V25" s="52" t="s">
        <v>210</v>
      </c>
      <c r="W25" s="69">
        <v>45670.0</v>
      </c>
      <c r="X25" s="70">
        <v>46018.0</v>
      </c>
      <c r="Z25" s="70">
        <v>46018.0</v>
      </c>
      <c r="AA25" s="52" t="s">
        <v>42</v>
      </c>
    </row>
    <row r="26">
      <c r="A26" s="52">
        <v>24.0</v>
      </c>
      <c r="B26" s="52" t="s">
        <v>1535</v>
      </c>
      <c r="C26" s="52" t="s">
        <v>1536</v>
      </c>
      <c r="D26" s="52" t="s">
        <v>1469</v>
      </c>
      <c r="E26" s="52" t="s">
        <v>1469</v>
      </c>
      <c r="F26" s="52" t="s">
        <v>1470</v>
      </c>
      <c r="G26" s="52" t="s">
        <v>1471</v>
      </c>
      <c r="H26" s="52" t="s">
        <v>583</v>
      </c>
      <c r="I26" s="52" t="s">
        <v>1526</v>
      </c>
      <c r="J26" s="52">
        <v>2.0</v>
      </c>
      <c r="K26" s="52" t="s">
        <v>1483</v>
      </c>
      <c r="L26" s="52">
        <v>10.0</v>
      </c>
      <c r="M26" s="52">
        <v>0.0</v>
      </c>
      <c r="N26" s="52" t="s">
        <v>214</v>
      </c>
      <c r="O26" s="52" t="s">
        <v>1537</v>
      </c>
      <c r="P26" s="52" t="s">
        <v>587</v>
      </c>
      <c r="Q26" s="52" t="s">
        <v>1537</v>
      </c>
      <c r="S26" s="52">
        <v>3.613995E7</v>
      </c>
      <c r="T26" s="52">
        <v>4225.0</v>
      </c>
      <c r="U26" s="52">
        <v>3325.0</v>
      </c>
      <c r="V26" s="52" t="s">
        <v>91</v>
      </c>
      <c r="W26" s="69">
        <v>45667.0</v>
      </c>
      <c r="X26" s="70">
        <v>46000.0</v>
      </c>
      <c r="Z26" s="70">
        <v>46000.0</v>
      </c>
      <c r="AA26" s="52" t="s">
        <v>1475</v>
      </c>
    </row>
    <row r="27">
      <c r="A27" s="52">
        <v>25.0</v>
      </c>
      <c r="B27" s="52" t="s">
        <v>219</v>
      </c>
      <c r="C27" s="52" t="s">
        <v>221</v>
      </c>
      <c r="D27" s="52" t="s">
        <v>1489</v>
      </c>
      <c r="E27" s="52" t="s">
        <v>1489</v>
      </c>
      <c r="F27" s="52" t="s">
        <v>1478</v>
      </c>
      <c r="G27" s="52" t="s">
        <v>1471</v>
      </c>
      <c r="H27" s="52" t="s">
        <v>583</v>
      </c>
      <c r="I27" s="52" t="s">
        <v>1538</v>
      </c>
      <c r="J27" s="52">
        <v>17.0</v>
      </c>
      <c r="K27" s="52" t="s">
        <v>1473</v>
      </c>
      <c r="L27" s="52">
        <v>71.0</v>
      </c>
      <c r="M27" s="52">
        <v>22.0</v>
      </c>
      <c r="N27" s="52" t="s">
        <v>220</v>
      </c>
      <c r="O27" s="52" t="s">
        <v>1539</v>
      </c>
      <c r="P27" s="52" t="s">
        <v>587</v>
      </c>
      <c r="Q27" s="52" t="s">
        <v>1539</v>
      </c>
      <c r="S27" s="52">
        <v>8.0E7</v>
      </c>
      <c r="T27" s="52">
        <v>1825.0</v>
      </c>
      <c r="U27" s="52">
        <v>4125.0</v>
      </c>
      <c r="V27" s="52" t="s">
        <v>67</v>
      </c>
      <c r="W27" s="69">
        <v>45671.0</v>
      </c>
      <c r="X27" s="70">
        <v>45974.0</v>
      </c>
      <c r="Z27" s="70">
        <v>45974.0</v>
      </c>
      <c r="AA27" s="52" t="s">
        <v>42</v>
      </c>
    </row>
    <row r="28">
      <c r="A28" s="52">
        <v>26.0</v>
      </c>
      <c r="B28" s="52" t="s">
        <v>225</v>
      </c>
      <c r="C28" s="52" t="s">
        <v>227</v>
      </c>
      <c r="D28" s="52" t="s">
        <v>1540</v>
      </c>
      <c r="E28" s="52" t="s">
        <v>1540</v>
      </c>
      <c r="F28" s="52" t="s">
        <v>1478</v>
      </c>
      <c r="G28" s="52" t="s">
        <v>1471</v>
      </c>
      <c r="H28" s="52" t="s">
        <v>583</v>
      </c>
      <c r="I28" s="52" t="s">
        <v>1541</v>
      </c>
      <c r="J28" s="52">
        <v>18.0</v>
      </c>
      <c r="K28" s="52" t="s">
        <v>1473</v>
      </c>
      <c r="L28" s="52">
        <v>46.0</v>
      </c>
      <c r="M28" s="52">
        <v>29.0</v>
      </c>
      <c r="N28" s="52" t="s">
        <v>226</v>
      </c>
      <c r="O28" s="52" t="s">
        <v>1542</v>
      </c>
      <c r="P28" s="52" t="s">
        <v>587</v>
      </c>
      <c r="Q28" s="52" t="s">
        <v>1542</v>
      </c>
      <c r="S28" s="52">
        <v>9.85435E7</v>
      </c>
      <c r="T28" s="52">
        <v>2325.0</v>
      </c>
      <c r="U28" s="52">
        <v>3725.0</v>
      </c>
      <c r="V28" s="52" t="s">
        <v>228</v>
      </c>
      <c r="W28" s="69">
        <v>45670.0</v>
      </c>
      <c r="X28" s="70">
        <v>46018.0</v>
      </c>
      <c r="Z28" s="70">
        <v>46018.0</v>
      </c>
      <c r="AA28" s="52" t="s">
        <v>42</v>
      </c>
    </row>
    <row r="29">
      <c r="A29" s="52">
        <v>27.0</v>
      </c>
      <c r="B29" s="52" t="s">
        <v>238</v>
      </c>
      <c r="C29" s="52" t="s">
        <v>240</v>
      </c>
      <c r="D29" s="52" t="s">
        <v>1543</v>
      </c>
      <c r="E29" s="52" t="s">
        <v>1469</v>
      </c>
      <c r="F29" s="52" t="s">
        <v>1470</v>
      </c>
      <c r="G29" s="52" t="s">
        <v>1471</v>
      </c>
      <c r="H29" s="52" t="s">
        <v>583</v>
      </c>
      <c r="I29" s="52" t="s">
        <v>1544</v>
      </c>
      <c r="J29" s="52">
        <v>16.0</v>
      </c>
      <c r="K29" s="52" t="s">
        <v>1473</v>
      </c>
      <c r="L29" s="52">
        <v>37.0</v>
      </c>
      <c r="M29" s="52">
        <v>37.0</v>
      </c>
      <c r="N29" s="52" t="s">
        <v>239</v>
      </c>
      <c r="O29" s="52" t="s">
        <v>1545</v>
      </c>
      <c r="P29" s="52" t="s">
        <v>587</v>
      </c>
      <c r="Q29" s="52" t="s">
        <v>1545</v>
      </c>
      <c r="S29" s="52">
        <v>4.42008E7</v>
      </c>
      <c r="T29" s="52">
        <v>5225.0</v>
      </c>
      <c r="U29" s="52">
        <v>3125.0</v>
      </c>
      <c r="V29" s="52" t="s">
        <v>91</v>
      </c>
      <c r="W29" s="69">
        <v>45667.0</v>
      </c>
      <c r="X29" s="70">
        <v>45847.0</v>
      </c>
      <c r="Z29" s="70">
        <v>45847.0</v>
      </c>
      <c r="AA29" s="52" t="s">
        <v>42</v>
      </c>
    </row>
    <row r="30">
      <c r="A30" s="52">
        <v>28.0</v>
      </c>
      <c r="B30" s="52" t="s">
        <v>244</v>
      </c>
      <c r="C30" s="52" t="s">
        <v>246</v>
      </c>
      <c r="D30" s="52" t="s">
        <v>1489</v>
      </c>
      <c r="E30" s="52" t="s">
        <v>1489</v>
      </c>
      <c r="F30" s="52" t="s">
        <v>1478</v>
      </c>
      <c r="G30" s="52" t="s">
        <v>1471</v>
      </c>
      <c r="H30" s="52" t="s">
        <v>583</v>
      </c>
      <c r="I30" s="52" t="s">
        <v>1546</v>
      </c>
      <c r="J30" s="52">
        <v>24.0</v>
      </c>
      <c r="K30" s="52" t="s">
        <v>1473</v>
      </c>
      <c r="L30" s="52">
        <v>80.0</v>
      </c>
      <c r="M30" s="52">
        <v>71.0</v>
      </c>
      <c r="N30" s="52" t="s">
        <v>245</v>
      </c>
      <c r="O30" s="52" t="s">
        <v>1547</v>
      </c>
      <c r="P30" s="52" t="s">
        <v>587</v>
      </c>
      <c r="Q30" s="52" t="s">
        <v>1547</v>
      </c>
      <c r="S30" s="52">
        <v>1.4012988E8</v>
      </c>
      <c r="T30" s="52">
        <v>7025.0</v>
      </c>
      <c r="U30" s="52">
        <v>4525.0</v>
      </c>
      <c r="V30" s="52" t="s">
        <v>67</v>
      </c>
      <c r="W30" s="69">
        <v>45671.0</v>
      </c>
      <c r="X30" s="70">
        <v>46004.0</v>
      </c>
      <c r="Z30" s="70">
        <v>46004.0</v>
      </c>
      <c r="AA30" s="52" t="s">
        <v>42</v>
      </c>
    </row>
    <row r="31">
      <c r="A31" s="52">
        <v>29.0</v>
      </c>
      <c r="B31" s="52" t="s">
        <v>249</v>
      </c>
      <c r="C31" s="52" t="s">
        <v>251</v>
      </c>
      <c r="D31" s="52" t="s">
        <v>1482</v>
      </c>
      <c r="E31" s="52" t="s">
        <v>1482</v>
      </c>
      <c r="F31" s="52" t="s">
        <v>1478</v>
      </c>
      <c r="G31" s="52" t="s">
        <v>1471</v>
      </c>
      <c r="H31" s="52" t="s">
        <v>781</v>
      </c>
      <c r="I31" s="52" t="s">
        <v>1548</v>
      </c>
      <c r="J31" s="52">
        <v>7.0</v>
      </c>
      <c r="K31" s="52" t="s">
        <v>1483</v>
      </c>
      <c r="L31" s="52">
        <v>5.0</v>
      </c>
      <c r="M31" s="52">
        <v>0.0</v>
      </c>
      <c r="N31" s="52" t="s">
        <v>250</v>
      </c>
      <c r="O31" s="52" t="s">
        <v>1549</v>
      </c>
      <c r="P31" s="52" t="s">
        <v>587</v>
      </c>
      <c r="Q31" s="52" t="s">
        <v>1549</v>
      </c>
      <c r="R31" s="52" t="s">
        <v>1550</v>
      </c>
      <c r="S31" s="52">
        <v>2.850952E7</v>
      </c>
      <c r="T31" s="52">
        <v>3225.0</v>
      </c>
      <c r="U31" s="52">
        <v>4625.0</v>
      </c>
      <c r="V31" s="52" t="s">
        <v>53</v>
      </c>
      <c r="W31" s="69">
        <v>45671.0</v>
      </c>
      <c r="X31" s="70">
        <v>46019.0</v>
      </c>
      <c r="Y31" s="52">
        <v>2.0</v>
      </c>
      <c r="Z31" s="70">
        <v>46022.0</v>
      </c>
      <c r="AA31" s="52" t="s">
        <v>42</v>
      </c>
    </row>
    <row r="32">
      <c r="A32" s="52">
        <v>30.0</v>
      </c>
      <c r="B32" s="52" t="s">
        <v>254</v>
      </c>
      <c r="C32" s="52" t="s">
        <v>256</v>
      </c>
      <c r="D32" s="52" t="s">
        <v>176</v>
      </c>
      <c r="E32" s="52" t="s">
        <v>1482</v>
      </c>
      <c r="F32" s="52" t="s">
        <v>1478</v>
      </c>
      <c r="G32" s="52" t="s">
        <v>1471</v>
      </c>
      <c r="H32" s="52" t="s">
        <v>583</v>
      </c>
      <c r="I32" s="52" t="s">
        <v>1479</v>
      </c>
      <c r="J32" s="52">
        <v>19.0</v>
      </c>
      <c r="K32" s="52" t="s">
        <v>1473</v>
      </c>
      <c r="L32" s="52">
        <v>47.0</v>
      </c>
      <c r="M32" s="52">
        <v>47.0</v>
      </c>
      <c r="N32" s="52" t="s">
        <v>255</v>
      </c>
      <c r="O32" s="52" t="s">
        <v>1551</v>
      </c>
      <c r="P32" s="52" t="s">
        <v>587</v>
      </c>
      <c r="Q32" s="52" t="s">
        <v>1551</v>
      </c>
      <c r="R32" s="52" t="s">
        <v>1552</v>
      </c>
      <c r="S32" s="52">
        <v>1.12872283E8</v>
      </c>
      <c r="T32" s="52">
        <v>2925.0</v>
      </c>
      <c r="U32" s="52">
        <v>4325.0</v>
      </c>
      <c r="V32" s="52" t="s">
        <v>53</v>
      </c>
      <c r="W32" s="69">
        <v>45671.0</v>
      </c>
      <c r="X32" s="70">
        <v>46019.0</v>
      </c>
      <c r="Y32" s="52">
        <v>2.0</v>
      </c>
      <c r="Z32" s="70">
        <v>46022.0</v>
      </c>
      <c r="AA32" s="52" t="s">
        <v>42</v>
      </c>
    </row>
    <row r="33">
      <c r="A33" s="52">
        <v>31.0</v>
      </c>
      <c r="B33" s="52" t="s">
        <v>260</v>
      </c>
      <c r="C33" s="52" t="s">
        <v>262</v>
      </c>
      <c r="D33" s="52" t="s">
        <v>1487</v>
      </c>
      <c r="E33" s="52" t="s">
        <v>1487</v>
      </c>
      <c r="F33" s="52" t="s">
        <v>1478</v>
      </c>
      <c r="G33" s="52" t="s">
        <v>1471</v>
      </c>
      <c r="H33" s="52" t="s">
        <v>781</v>
      </c>
      <c r="I33" s="52" t="s">
        <v>1553</v>
      </c>
      <c r="J33" s="52">
        <v>16.0</v>
      </c>
      <c r="K33" s="52" t="s">
        <v>1483</v>
      </c>
      <c r="L33" s="52">
        <v>73.0</v>
      </c>
      <c r="M33" s="52">
        <v>0.0</v>
      </c>
      <c r="N33" s="52" t="s">
        <v>261</v>
      </c>
      <c r="O33" s="52" t="s">
        <v>1554</v>
      </c>
      <c r="P33" s="52" t="s">
        <v>587</v>
      </c>
      <c r="Q33" s="52" t="s">
        <v>1554</v>
      </c>
      <c r="S33" s="52">
        <v>2.8588E7</v>
      </c>
      <c r="T33" s="52">
        <v>1325.0</v>
      </c>
      <c r="U33" s="52">
        <v>3925.0</v>
      </c>
      <c r="V33" s="52" t="s">
        <v>62</v>
      </c>
      <c r="W33" s="69">
        <v>45670.0</v>
      </c>
      <c r="X33" s="70">
        <v>45881.0</v>
      </c>
      <c r="Z33" s="70">
        <v>45881.0</v>
      </c>
      <c r="AA33" s="52" t="s">
        <v>42</v>
      </c>
    </row>
    <row r="34">
      <c r="A34" s="52">
        <v>32.0</v>
      </c>
      <c r="B34" s="52" t="s">
        <v>265</v>
      </c>
      <c r="C34" s="52" t="s">
        <v>267</v>
      </c>
      <c r="D34" s="52" t="s">
        <v>1477</v>
      </c>
      <c r="E34" s="52" t="s">
        <v>1487</v>
      </c>
      <c r="F34" s="52" t="s">
        <v>1478</v>
      </c>
      <c r="G34" s="52" t="s">
        <v>1555</v>
      </c>
      <c r="H34" s="52" t="s">
        <v>1030</v>
      </c>
      <c r="I34" s="52" t="s">
        <v>1556</v>
      </c>
      <c r="J34" s="52" t="s">
        <v>1556</v>
      </c>
      <c r="K34" s="52" t="s">
        <v>1556</v>
      </c>
      <c r="L34" s="52" t="s">
        <v>1556</v>
      </c>
      <c r="M34" s="52" t="s">
        <v>1556</v>
      </c>
      <c r="N34" s="52" t="s">
        <v>266</v>
      </c>
      <c r="O34" s="52" t="s">
        <v>1557</v>
      </c>
      <c r="P34" s="52" t="s">
        <v>587</v>
      </c>
      <c r="Q34" s="52" t="s">
        <v>1557</v>
      </c>
      <c r="S34" s="52">
        <v>7.2620659E7</v>
      </c>
      <c r="U34" s="52">
        <v>6025.0</v>
      </c>
      <c r="V34" s="52" t="s">
        <v>197</v>
      </c>
      <c r="W34" s="69">
        <v>45677.0</v>
      </c>
      <c r="X34" s="70">
        <v>46022.0</v>
      </c>
      <c r="Z34" s="70">
        <v>46022.0</v>
      </c>
      <c r="AA34" s="52" t="s">
        <v>42</v>
      </c>
    </row>
    <row r="35">
      <c r="A35" s="52">
        <v>33.0</v>
      </c>
      <c r="B35" s="52" t="s">
        <v>271</v>
      </c>
      <c r="C35" s="52" t="s">
        <v>273</v>
      </c>
      <c r="D35" s="52" t="s">
        <v>1477</v>
      </c>
      <c r="E35" s="52" t="s">
        <v>1477</v>
      </c>
      <c r="F35" s="52" t="s">
        <v>1478</v>
      </c>
      <c r="G35" s="52" t="s">
        <v>1471</v>
      </c>
      <c r="H35" s="52" t="s">
        <v>583</v>
      </c>
      <c r="I35" s="52" t="s">
        <v>1558</v>
      </c>
      <c r="J35" s="52">
        <v>12.0</v>
      </c>
      <c r="K35" s="52" t="s">
        <v>1473</v>
      </c>
      <c r="L35" s="52">
        <v>20.0</v>
      </c>
      <c r="M35" s="52">
        <v>20.0</v>
      </c>
      <c r="N35" s="52" t="s">
        <v>272</v>
      </c>
      <c r="O35" s="52" t="s">
        <v>1559</v>
      </c>
      <c r="P35" s="52" t="s">
        <v>587</v>
      </c>
      <c r="Q35" s="52" t="s">
        <v>1559</v>
      </c>
      <c r="S35" s="52">
        <v>6.2434213E7</v>
      </c>
      <c r="T35" s="52">
        <v>4625.0</v>
      </c>
      <c r="U35" s="52">
        <v>5025.0</v>
      </c>
      <c r="V35" s="52" t="s">
        <v>47</v>
      </c>
      <c r="W35" s="69">
        <v>45672.0</v>
      </c>
      <c r="X35" s="70">
        <v>46020.0</v>
      </c>
      <c r="Z35" s="70">
        <v>46020.0</v>
      </c>
      <c r="AA35" s="52" t="s">
        <v>42</v>
      </c>
    </row>
    <row r="36">
      <c r="A36" s="52">
        <v>34.0</v>
      </c>
      <c r="B36" s="52" t="s">
        <v>277</v>
      </c>
      <c r="C36" s="52" t="s">
        <v>279</v>
      </c>
      <c r="D36" s="52" t="s">
        <v>1503</v>
      </c>
      <c r="E36" s="52" t="s">
        <v>1503</v>
      </c>
      <c r="F36" s="52" t="s">
        <v>1478</v>
      </c>
      <c r="G36" s="52" t="s">
        <v>1471</v>
      </c>
      <c r="H36" s="52" t="s">
        <v>583</v>
      </c>
      <c r="I36" s="52" t="s">
        <v>1560</v>
      </c>
      <c r="J36" s="52">
        <v>15.0</v>
      </c>
      <c r="K36" s="52" t="s">
        <v>1473</v>
      </c>
      <c r="L36" s="52">
        <v>40.0</v>
      </c>
      <c r="M36" s="52">
        <v>40.0</v>
      </c>
      <c r="N36" s="52" t="s">
        <v>278</v>
      </c>
      <c r="O36" s="52" t="s">
        <v>1561</v>
      </c>
      <c r="P36" s="52" t="s">
        <v>587</v>
      </c>
      <c r="Q36" s="52" t="s">
        <v>1561</v>
      </c>
      <c r="S36" s="52">
        <v>8.1279263E7</v>
      </c>
      <c r="T36" s="52">
        <v>5125.0</v>
      </c>
      <c r="U36" s="52">
        <v>4925.0</v>
      </c>
      <c r="V36" s="52" t="s">
        <v>111</v>
      </c>
      <c r="W36" s="69">
        <v>45672.0</v>
      </c>
      <c r="X36" s="70">
        <v>46020.0</v>
      </c>
      <c r="Z36" s="70">
        <v>46020.0</v>
      </c>
      <c r="AA36" s="52" t="s">
        <v>42</v>
      </c>
    </row>
    <row r="37">
      <c r="A37" s="52">
        <v>35.0</v>
      </c>
      <c r="B37" s="52" t="s">
        <v>281</v>
      </c>
      <c r="C37" s="52" t="s">
        <v>283</v>
      </c>
      <c r="D37" s="52" t="s">
        <v>1477</v>
      </c>
      <c r="E37" s="52" t="s">
        <v>1477</v>
      </c>
      <c r="F37" s="52" t="s">
        <v>1478</v>
      </c>
      <c r="G37" s="52" t="s">
        <v>1471</v>
      </c>
      <c r="H37" s="52" t="s">
        <v>583</v>
      </c>
      <c r="I37" s="52" t="s">
        <v>1546</v>
      </c>
      <c r="J37" s="52">
        <v>15.0</v>
      </c>
      <c r="K37" s="52" t="s">
        <v>1473</v>
      </c>
      <c r="L37" s="52">
        <v>182.0</v>
      </c>
      <c r="M37" s="52">
        <v>26.0</v>
      </c>
      <c r="N37" s="52" t="s">
        <v>282</v>
      </c>
      <c r="O37" s="52" t="s">
        <v>1562</v>
      </c>
      <c r="P37" s="52" t="s">
        <v>587</v>
      </c>
      <c r="Q37" s="52" t="s">
        <v>1562</v>
      </c>
      <c r="S37" s="52">
        <v>7.0E7</v>
      </c>
      <c r="T37" s="52">
        <v>6625.0</v>
      </c>
      <c r="U37" s="52">
        <v>5125.0</v>
      </c>
      <c r="V37" s="52" t="s">
        <v>47</v>
      </c>
      <c r="W37" s="69">
        <v>45672.0</v>
      </c>
      <c r="X37" s="70">
        <v>45975.0</v>
      </c>
      <c r="Z37" s="70">
        <v>45975.0</v>
      </c>
      <c r="AA37" s="52" t="s">
        <v>42</v>
      </c>
    </row>
    <row r="38">
      <c r="A38" s="52">
        <v>36.0</v>
      </c>
      <c r="B38" s="52" t="s">
        <v>286</v>
      </c>
      <c r="C38" s="52" t="s">
        <v>288</v>
      </c>
      <c r="D38" s="52" t="s">
        <v>1469</v>
      </c>
      <c r="E38" s="52" t="s">
        <v>1469</v>
      </c>
      <c r="F38" s="52" t="s">
        <v>1470</v>
      </c>
      <c r="G38" s="52" t="s">
        <v>1471</v>
      </c>
      <c r="H38" s="52" t="s">
        <v>583</v>
      </c>
      <c r="I38" s="52" t="s">
        <v>1563</v>
      </c>
      <c r="J38" s="52">
        <v>16.0</v>
      </c>
      <c r="K38" s="52" t="s">
        <v>1473</v>
      </c>
      <c r="L38" s="52">
        <v>32.0</v>
      </c>
      <c r="M38" s="52">
        <v>32.0</v>
      </c>
      <c r="N38" s="52" t="s">
        <v>287</v>
      </c>
      <c r="O38" s="52" t="s">
        <v>1564</v>
      </c>
      <c r="P38" s="52" t="s">
        <v>587</v>
      </c>
      <c r="Q38" s="52" t="s">
        <v>1564</v>
      </c>
      <c r="S38" s="52">
        <v>8.10348E7</v>
      </c>
      <c r="T38" s="52">
        <v>8325.0</v>
      </c>
      <c r="U38" s="52">
        <v>9125.0</v>
      </c>
      <c r="V38" s="52" t="s">
        <v>91</v>
      </c>
      <c r="W38" s="69">
        <v>45678.0</v>
      </c>
      <c r="X38" s="70">
        <v>46011.0</v>
      </c>
      <c r="Z38" s="70">
        <v>46011.0</v>
      </c>
      <c r="AA38" s="52" t="s">
        <v>42</v>
      </c>
    </row>
    <row r="39">
      <c r="A39" s="52">
        <v>37.0</v>
      </c>
      <c r="B39" s="52" t="s">
        <v>291</v>
      </c>
      <c r="C39" s="52" t="s">
        <v>293</v>
      </c>
      <c r="D39" s="52" t="s">
        <v>1469</v>
      </c>
      <c r="E39" s="52" t="s">
        <v>1469</v>
      </c>
      <c r="F39" s="52" t="s">
        <v>1470</v>
      </c>
      <c r="G39" s="52" t="s">
        <v>1471</v>
      </c>
      <c r="H39" s="52" t="s">
        <v>583</v>
      </c>
      <c r="I39" s="52" t="s">
        <v>1565</v>
      </c>
      <c r="J39" s="52">
        <v>17.0</v>
      </c>
      <c r="K39" s="52" t="s">
        <v>1473</v>
      </c>
      <c r="L39" s="52">
        <v>35.0</v>
      </c>
      <c r="M39" s="52">
        <v>26.0</v>
      </c>
      <c r="N39" s="52" t="s">
        <v>292</v>
      </c>
      <c r="O39" s="52" t="s">
        <v>1495</v>
      </c>
      <c r="P39" s="52" t="s">
        <v>587</v>
      </c>
      <c r="Q39" s="52" t="s">
        <v>1495</v>
      </c>
      <c r="S39" s="52">
        <v>9.13353E7</v>
      </c>
      <c r="T39" s="52">
        <v>8925.0</v>
      </c>
      <c r="U39" s="52">
        <v>4825.0</v>
      </c>
      <c r="V39" s="52" t="s">
        <v>91</v>
      </c>
      <c r="W39" s="69">
        <v>45672.0</v>
      </c>
      <c r="X39" s="70">
        <v>46020.0</v>
      </c>
      <c r="Z39" s="70">
        <v>46020.0</v>
      </c>
      <c r="AA39" s="52" t="s">
        <v>42</v>
      </c>
    </row>
    <row r="40">
      <c r="A40" s="52">
        <v>38.0</v>
      </c>
      <c r="B40" s="52" t="s">
        <v>296</v>
      </c>
      <c r="C40" s="52" t="s">
        <v>298</v>
      </c>
      <c r="D40" s="52" t="s">
        <v>1469</v>
      </c>
      <c r="E40" s="52" t="s">
        <v>1469</v>
      </c>
      <c r="F40" s="52" t="s">
        <v>1470</v>
      </c>
      <c r="G40" s="52" t="s">
        <v>1471</v>
      </c>
      <c r="H40" s="52" t="s">
        <v>583</v>
      </c>
      <c r="I40" s="52" t="s">
        <v>1526</v>
      </c>
      <c r="J40" s="52">
        <v>2.0</v>
      </c>
      <c r="K40" s="52" t="s">
        <v>1483</v>
      </c>
      <c r="L40" s="52">
        <v>0.0</v>
      </c>
      <c r="M40" s="52" t="s">
        <v>39</v>
      </c>
      <c r="N40" s="52" t="s">
        <v>297</v>
      </c>
      <c r="O40" s="52" t="s">
        <v>1537</v>
      </c>
      <c r="P40" s="52" t="s">
        <v>587</v>
      </c>
      <c r="Q40" s="52" t="s">
        <v>1537</v>
      </c>
      <c r="S40" s="52">
        <v>3.613995E7</v>
      </c>
      <c r="T40" s="52">
        <v>9125.0</v>
      </c>
      <c r="U40" s="52">
        <v>4725.0</v>
      </c>
      <c r="V40" s="52" t="s">
        <v>91</v>
      </c>
      <c r="W40" s="69">
        <v>45672.0</v>
      </c>
      <c r="X40" s="70">
        <v>46005.0</v>
      </c>
      <c r="Z40" s="70">
        <v>46005.0</v>
      </c>
      <c r="AA40" s="52" t="s">
        <v>42</v>
      </c>
    </row>
    <row r="41">
      <c r="A41" s="52">
        <v>39.0</v>
      </c>
      <c r="B41" s="52" t="s">
        <v>300</v>
      </c>
      <c r="C41" s="52" t="s">
        <v>302</v>
      </c>
      <c r="D41" s="52" t="s">
        <v>1503</v>
      </c>
      <c r="E41" s="52" t="s">
        <v>1503</v>
      </c>
      <c r="F41" s="52" t="s">
        <v>1478</v>
      </c>
      <c r="G41" s="52" t="s">
        <v>1471</v>
      </c>
      <c r="H41" s="52" t="s">
        <v>583</v>
      </c>
      <c r="I41" s="52" t="s">
        <v>1566</v>
      </c>
      <c r="J41" s="52">
        <v>6.0</v>
      </c>
      <c r="K41" s="52" t="s">
        <v>1483</v>
      </c>
      <c r="L41" s="52">
        <v>33.0</v>
      </c>
      <c r="M41" s="52">
        <v>33.0</v>
      </c>
      <c r="N41" s="52" t="s">
        <v>301</v>
      </c>
      <c r="O41" s="52" t="s">
        <v>1567</v>
      </c>
      <c r="P41" s="52" t="s">
        <v>587</v>
      </c>
      <c r="Q41" s="52" t="s">
        <v>1567</v>
      </c>
      <c r="R41" s="71">
        <v>-144500.0</v>
      </c>
      <c r="S41" s="52">
        <v>4.9708E7</v>
      </c>
      <c r="T41" s="52">
        <v>4825.0</v>
      </c>
      <c r="U41" s="52">
        <v>6325.0</v>
      </c>
      <c r="V41" s="52" t="s">
        <v>111</v>
      </c>
      <c r="W41" s="69">
        <v>45674.0</v>
      </c>
      <c r="X41" s="70">
        <v>46022.0</v>
      </c>
      <c r="Z41" s="70">
        <v>46022.0</v>
      </c>
      <c r="AA41" s="52" t="s">
        <v>42</v>
      </c>
    </row>
    <row r="42">
      <c r="A42" s="52">
        <v>40.0</v>
      </c>
      <c r="B42" s="52" t="s">
        <v>304</v>
      </c>
      <c r="C42" s="52" t="s">
        <v>306</v>
      </c>
      <c r="D42" s="52" t="s">
        <v>1477</v>
      </c>
      <c r="E42" s="52" t="s">
        <v>1477</v>
      </c>
      <c r="F42" s="52" t="s">
        <v>1478</v>
      </c>
      <c r="G42" s="52" t="s">
        <v>1471</v>
      </c>
      <c r="H42" s="52" t="s">
        <v>583</v>
      </c>
      <c r="I42" s="52" t="s">
        <v>1568</v>
      </c>
      <c r="J42" s="52">
        <v>18.0</v>
      </c>
      <c r="K42" s="52" t="s">
        <v>1473</v>
      </c>
      <c r="L42" s="52">
        <v>39.0</v>
      </c>
      <c r="M42" s="52">
        <v>28.0</v>
      </c>
      <c r="N42" s="52" t="s">
        <v>305</v>
      </c>
      <c r="O42" s="52" t="s">
        <v>1569</v>
      </c>
      <c r="P42" s="52" t="s">
        <v>587</v>
      </c>
      <c r="Q42" s="52" t="s">
        <v>1569</v>
      </c>
      <c r="S42" s="52">
        <v>7.114245E7</v>
      </c>
      <c r="T42" s="52">
        <v>5025.0</v>
      </c>
      <c r="U42" s="52">
        <v>5325.0</v>
      </c>
      <c r="V42" s="52" t="s">
        <v>47</v>
      </c>
      <c r="W42" s="69">
        <v>45672.0</v>
      </c>
      <c r="X42" s="70">
        <v>45929.0</v>
      </c>
      <c r="Z42" s="70">
        <v>45929.0</v>
      </c>
      <c r="AA42" s="52" t="s">
        <v>42</v>
      </c>
    </row>
    <row r="43">
      <c r="A43" s="52">
        <v>41.0</v>
      </c>
      <c r="B43" s="52" t="s">
        <v>310</v>
      </c>
      <c r="C43" s="52" t="s">
        <v>312</v>
      </c>
      <c r="D43" s="52" t="s">
        <v>1469</v>
      </c>
      <c r="E43" s="52" t="s">
        <v>1469</v>
      </c>
      <c r="F43" s="52" t="s">
        <v>1478</v>
      </c>
      <c r="G43" s="52" t="s">
        <v>1471</v>
      </c>
      <c r="H43" s="52" t="s">
        <v>583</v>
      </c>
      <c r="I43" s="52" t="s">
        <v>1570</v>
      </c>
      <c r="J43" s="52">
        <v>18.0</v>
      </c>
      <c r="K43" s="52" t="s">
        <v>1473</v>
      </c>
      <c r="L43" s="52">
        <v>35.0</v>
      </c>
      <c r="M43" s="52">
        <v>26.0</v>
      </c>
      <c r="N43" s="52" t="s">
        <v>1571</v>
      </c>
      <c r="O43" s="52" t="s">
        <v>1572</v>
      </c>
      <c r="P43" s="52" t="s">
        <v>587</v>
      </c>
      <c r="Q43" s="52" t="s">
        <v>1572</v>
      </c>
      <c r="S43" s="52">
        <v>9.60687E7</v>
      </c>
      <c r="T43" s="52">
        <v>8725.0</v>
      </c>
      <c r="U43" s="52">
        <v>5625.0</v>
      </c>
      <c r="V43" s="52" t="s">
        <v>313</v>
      </c>
      <c r="W43" s="69">
        <v>45672.0</v>
      </c>
      <c r="X43" s="70">
        <v>46020.0</v>
      </c>
      <c r="Z43" s="70">
        <v>46020.0</v>
      </c>
      <c r="AA43" s="52" t="s">
        <v>42</v>
      </c>
    </row>
    <row r="44">
      <c r="A44" s="52">
        <v>42.0</v>
      </c>
      <c r="B44" s="52" t="s">
        <v>315</v>
      </c>
      <c r="C44" s="52" t="s">
        <v>317</v>
      </c>
      <c r="D44" s="52" t="s">
        <v>1469</v>
      </c>
      <c r="E44" s="52" t="s">
        <v>1469</v>
      </c>
      <c r="F44" s="52" t="s">
        <v>1478</v>
      </c>
      <c r="G44" s="52" t="s">
        <v>1471</v>
      </c>
      <c r="H44" s="52" t="s">
        <v>583</v>
      </c>
      <c r="I44" s="52" t="s">
        <v>1573</v>
      </c>
      <c r="J44" s="52">
        <v>24.0</v>
      </c>
      <c r="K44" s="52" t="s">
        <v>1473</v>
      </c>
      <c r="L44" s="52">
        <v>55.0</v>
      </c>
      <c r="M44" s="52">
        <v>49.0</v>
      </c>
      <c r="N44" s="52" t="s">
        <v>316</v>
      </c>
      <c r="O44" s="52" t="s">
        <v>1574</v>
      </c>
      <c r="P44" s="52" t="s">
        <v>1575</v>
      </c>
      <c r="Q44" s="52" t="s">
        <v>1576</v>
      </c>
      <c r="S44" s="52">
        <v>1.44029984E8</v>
      </c>
      <c r="T44" s="52">
        <v>8825.0</v>
      </c>
      <c r="U44" s="52">
        <v>5425.0</v>
      </c>
      <c r="V44" s="52" t="s">
        <v>313</v>
      </c>
      <c r="W44" s="69">
        <v>45672.0</v>
      </c>
      <c r="X44" s="70">
        <v>46002.0</v>
      </c>
      <c r="Z44" s="70">
        <v>46002.0</v>
      </c>
      <c r="AA44" s="52" t="s">
        <v>42</v>
      </c>
    </row>
    <row r="45">
      <c r="A45" s="52">
        <v>43.0</v>
      </c>
      <c r="B45" s="52" t="s">
        <v>321</v>
      </c>
      <c r="C45" s="52" t="s">
        <v>323</v>
      </c>
      <c r="D45" s="52" t="s">
        <v>1469</v>
      </c>
      <c r="E45" s="52" t="s">
        <v>1469</v>
      </c>
      <c r="F45" s="52" t="s">
        <v>1478</v>
      </c>
      <c r="G45" s="52" t="s">
        <v>1471</v>
      </c>
      <c r="H45" s="52" t="s">
        <v>583</v>
      </c>
      <c r="I45" s="52" t="s">
        <v>1577</v>
      </c>
      <c r="J45" s="52">
        <v>21.0</v>
      </c>
      <c r="K45" s="52" t="s">
        <v>1473</v>
      </c>
      <c r="L45" s="52">
        <v>123.0</v>
      </c>
      <c r="M45" s="52">
        <v>123.0</v>
      </c>
      <c r="N45" s="52" t="s">
        <v>322</v>
      </c>
      <c r="O45" s="52" t="s">
        <v>1578</v>
      </c>
      <c r="P45" s="52" t="s">
        <v>587</v>
      </c>
      <c r="Q45" s="52" t="s">
        <v>1578</v>
      </c>
      <c r="S45" s="52">
        <v>1.1980815E8</v>
      </c>
      <c r="T45" s="52">
        <v>8525.0</v>
      </c>
      <c r="U45" s="52">
        <v>5525.0</v>
      </c>
      <c r="V45" s="52" t="s">
        <v>313</v>
      </c>
      <c r="W45" s="69">
        <v>45672.0</v>
      </c>
      <c r="X45" s="70">
        <v>46020.0</v>
      </c>
      <c r="Z45" s="70">
        <v>46020.0</v>
      </c>
      <c r="AA45" s="52" t="s">
        <v>42</v>
      </c>
    </row>
    <row r="46">
      <c r="A46" s="52">
        <v>44.0</v>
      </c>
      <c r="B46" s="52" t="s">
        <v>325</v>
      </c>
      <c r="C46" s="52" t="s">
        <v>327</v>
      </c>
      <c r="D46" s="52" t="s">
        <v>1579</v>
      </c>
      <c r="E46" s="52" t="s">
        <v>1469</v>
      </c>
      <c r="F46" s="52" t="s">
        <v>1470</v>
      </c>
      <c r="G46" s="52" t="s">
        <v>1471</v>
      </c>
      <c r="H46" s="52" t="s">
        <v>583</v>
      </c>
      <c r="I46" s="52" t="s">
        <v>1472</v>
      </c>
      <c r="J46" s="52">
        <v>9.0</v>
      </c>
      <c r="K46" s="52" t="s">
        <v>1483</v>
      </c>
      <c r="L46" s="52">
        <v>40.0</v>
      </c>
      <c r="M46" s="52">
        <v>40.0</v>
      </c>
      <c r="N46" s="52" t="s">
        <v>326</v>
      </c>
      <c r="O46" s="52" t="s">
        <v>1580</v>
      </c>
      <c r="P46" s="52" t="s">
        <v>587</v>
      </c>
      <c r="Q46" s="52" t="s">
        <v>1580</v>
      </c>
      <c r="S46" s="52">
        <v>5.75E7</v>
      </c>
      <c r="T46" s="52">
        <v>8425.0</v>
      </c>
      <c r="U46" s="52">
        <v>5225.0</v>
      </c>
      <c r="V46" s="52" t="s">
        <v>38</v>
      </c>
      <c r="W46" s="69">
        <v>45672.0</v>
      </c>
      <c r="X46" s="70">
        <v>46020.0</v>
      </c>
      <c r="Z46" s="70">
        <v>46020.0</v>
      </c>
      <c r="AA46" s="52" t="s">
        <v>42</v>
      </c>
    </row>
    <row r="47">
      <c r="A47" s="52">
        <v>45.0</v>
      </c>
      <c r="B47" s="52" t="s">
        <v>330</v>
      </c>
      <c r="C47" s="52" t="s">
        <v>332</v>
      </c>
      <c r="D47" s="52" t="s">
        <v>1487</v>
      </c>
      <c r="E47" s="52" t="s">
        <v>1487</v>
      </c>
      <c r="F47" s="52" t="s">
        <v>1478</v>
      </c>
      <c r="G47" s="52" t="s">
        <v>1471</v>
      </c>
      <c r="H47" s="52" t="s">
        <v>781</v>
      </c>
      <c r="I47" s="52" t="s">
        <v>1581</v>
      </c>
      <c r="J47" s="52">
        <v>17.0</v>
      </c>
      <c r="K47" s="52" t="s">
        <v>1483</v>
      </c>
      <c r="L47" s="52">
        <v>46.0</v>
      </c>
      <c r="M47" s="52">
        <v>0.0</v>
      </c>
      <c r="N47" s="52" t="s">
        <v>1582</v>
      </c>
      <c r="O47" s="52" t="s">
        <v>1583</v>
      </c>
      <c r="P47" s="52" t="s">
        <v>587</v>
      </c>
      <c r="Q47" s="52" t="s">
        <v>1583</v>
      </c>
      <c r="S47" s="52">
        <v>4.8092E7</v>
      </c>
      <c r="T47" s="52">
        <v>5525.0</v>
      </c>
      <c r="U47" s="52">
        <v>7725.0</v>
      </c>
      <c r="V47" s="52" t="s">
        <v>62</v>
      </c>
      <c r="W47" s="69">
        <v>45677.0</v>
      </c>
      <c r="X47" s="70">
        <v>46010.0</v>
      </c>
      <c r="Z47" s="70">
        <v>46010.0</v>
      </c>
      <c r="AA47" s="52" t="s">
        <v>42</v>
      </c>
    </row>
    <row r="48">
      <c r="A48" s="52">
        <v>46.0</v>
      </c>
      <c r="B48" s="52" t="s">
        <v>334</v>
      </c>
      <c r="C48" s="52" t="s">
        <v>336</v>
      </c>
      <c r="D48" s="52" t="s">
        <v>1487</v>
      </c>
      <c r="E48" s="52" t="s">
        <v>1487</v>
      </c>
      <c r="F48" s="52" t="s">
        <v>1478</v>
      </c>
      <c r="G48" s="52" t="s">
        <v>1471</v>
      </c>
      <c r="H48" s="52" t="s">
        <v>583</v>
      </c>
      <c r="I48" s="52" t="s">
        <v>1584</v>
      </c>
      <c r="J48" s="52">
        <v>15.0</v>
      </c>
      <c r="K48" s="52" t="s">
        <v>1473</v>
      </c>
      <c r="L48" s="52">
        <v>192.0</v>
      </c>
      <c r="M48" s="52">
        <v>28.0</v>
      </c>
      <c r="N48" s="52" t="s">
        <v>335</v>
      </c>
      <c r="O48" s="52" t="s">
        <v>1585</v>
      </c>
      <c r="P48" s="52" t="s">
        <v>587</v>
      </c>
      <c r="Q48" s="52" t="s">
        <v>1585</v>
      </c>
      <c r="S48" s="52">
        <v>6.3E7</v>
      </c>
      <c r="T48" s="52">
        <v>5825.0</v>
      </c>
      <c r="U48" s="52">
        <v>8125.0</v>
      </c>
      <c r="V48" s="52" t="s">
        <v>62</v>
      </c>
      <c r="W48" s="69">
        <v>45677.0</v>
      </c>
      <c r="X48" s="70">
        <v>45949.0</v>
      </c>
      <c r="Z48" s="70">
        <v>45949.0</v>
      </c>
      <c r="AA48" s="52" t="s">
        <v>42</v>
      </c>
    </row>
    <row r="49">
      <c r="A49" s="52">
        <v>47.0</v>
      </c>
      <c r="B49" s="52" t="s">
        <v>339</v>
      </c>
      <c r="C49" s="52" t="s">
        <v>341</v>
      </c>
      <c r="D49" s="52" t="s">
        <v>1497</v>
      </c>
      <c r="E49" s="52" t="s">
        <v>1497</v>
      </c>
      <c r="F49" s="52" t="s">
        <v>1478</v>
      </c>
      <c r="G49" s="52" t="s">
        <v>1471</v>
      </c>
      <c r="H49" s="52" t="s">
        <v>583</v>
      </c>
      <c r="I49" s="52" t="s">
        <v>1526</v>
      </c>
      <c r="J49" s="52">
        <v>15.0</v>
      </c>
      <c r="K49" s="52" t="s">
        <v>1473</v>
      </c>
      <c r="L49" s="52">
        <v>77.0</v>
      </c>
      <c r="M49" s="52">
        <v>54.0</v>
      </c>
      <c r="N49" s="52" t="s">
        <v>340</v>
      </c>
      <c r="O49" s="52" t="s">
        <v>1586</v>
      </c>
      <c r="P49" s="52" t="s">
        <v>587</v>
      </c>
      <c r="Q49" s="52" t="s">
        <v>1586</v>
      </c>
      <c r="S49" s="52">
        <v>8.28E7</v>
      </c>
      <c r="T49" s="52">
        <v>4325.0</v>
      </c>
      <c r="U49" s="52">
        <v>6125.0</v>
      </c>
      <c r="V49" s="52" t="s">
        <v>77</v>
      </c>
      <c r="W49" s="69">
        <v>45673.0</v>
      </c>
      <c r="X49" s="70">
        <v>46021.0</v>
      </c>
      <c r="Z49" s="70">
        <v>46021.0</v>
      </c>
      <c r="AA49" s="52" t="s">
        <v>42</v>
      </c>
    </row>
    <row r="50">
      <c r="A50" s="52">
        <v>48.0</v>
      </c>
      <c r="B50" s="52" t="s">
        <v>343</v>
      </c>
      <c r="C50" s="52" t="s">
        <v>345</v>
      </c>
      <c r="D50" s="52" t="s">
        <v>1482</v>
      </c>
      <c r="E50" s="52" t="s">
        <v>1482</v>
      </c>
      <c r="F50" s="52" t="s">
        <v>1478</v>
      </c>
      <c r="G50" s="52" t="s">
        <v>1471</v>
      </c>
      <c r="H50" s="52" t="s">
        <v>583</v>
      </c>
      <c r="I50" s="52" t="s">
        <v>1526</v>
      </c>
      <c r="J50" s="52">
        <v>6.0</v>
      </c>
      <c r="K50" s="52" t="s">
        <v>1483</v>
      </c>
      <c r="L50" s="52">
        <v>33.0</v>
      </c>
      <c r="M50" s="52">
        <v>33.0</v>
      </c>
      <c r="N50" s="52" t="s">
        <v>1587</v>
      </c>
      <c r="O50" s="52" t="s">
        <v>1588</v>
      </c>
      <c r="P50" s="52" t="s">
        <v>587</v>
      </c>
      <c r="Q50" s="52" t="s">
        <v>1588</v>
      </c>
      <c r="S50" s="52">
        <v>2.700654E7</v>
      </c>
      <c r="T50" s="52">
        <v>6825.0</v>
      </c>
      <c r="U50" s="52">
        <v>6825.0</v>
      </c>
      <c r="V50" s="52" t="s">
        <v>53</v>
      </c>
      <c r="W50" s="69">
        <v>45686.0</v>
      </c>
      <c r="X50" s="70">
        <v>45874.0</v>
      </c>
      <c r="Z50" s="70">
        <v>45874.0</v>
      </c>
      <c r="AA50" s="52" t="s">
        <v>42</v>
      </c>
    </row>
    <row r="51">
      <c r="A51" s="52">
        <v>49.0</v>
      </c>
      <c r="B51" s="52" t="s">
        <v>348</v>
      </c>
      <c r="C51" s="52" t="s">
        <v>1589</v>
      </c>
      <c r="D51" s="52" t="s">
        <v>1482</v>
      </c>
      <c r="E51" s="52" t="s">
        <v>1482</v>
      </c>
      <c r="F51" s="52" t="s">
        <v>1478</v>
      </c>
      <c r="G51" s="52" t="s">
        <v>1471</v>
      </c>
      <c r="H51" s="52" t="s">
        <v>583</v>
      </c>
      <c r="I51" s="52" t="s">
        <v>1521</v>
      </c>
      <c r="J51" s="52">
        <v>16.0</v>
      </c>
      <c r="K51" s="52" t="s">
        <v>1473</v>
      </c>
      <c r="L51" s="52">
        <v>33.0</v>
      </c>
      <c r="M51" s="52">
        <v>33.0</v>
      </c>
      <c r="N51" s="52" t="s">
        <v>349</v>
      </c>
      <c r="O51" s="52" t="s">
        <v>1590</v>
      </c>
      <c r="P51" s="52" t="s">
        <v>587</v>
      </c>
      <c r="Q51" s="52" t="s">
        <v>1590</v>
      </c>
      <c r="R51" s="52" t="s">
        <v>1591</v>
      </c>
      <c r="S51" s="52">
        <v>9.2202533E7</v>
      </c>
      <c r="T51" s="52">
        <v>6525.0</v>
      </c>
      <c r="U51" s="52">
        <v>7225.0</v>
      </c>
      <c r="V51" s="52" t="s">
        <v>351</v>
      </c>
      <c r="W51" s="69">
        <v>45674.0</v>
      </c>
      <c r="X51" s="70">
        <v>46014.0</v>
      </c>
      <c r="Y51" s="52">
        <v>7.0</v>
      </c>
      <c r="Z51" s="70">
        <v>46014.0</v>
      </c>
      <c r="AA51" s="52" t="s">
        <v>42</v>
      </c>
    </row>
    <row r="52">
      <c r="A52" s="52">
        <v>50.0</v>
      </c>
      <c r="B52" s="52" t="s">
        <v>354</v>
      </c>
      <c r="C52" s="52" t="s">
        <v>356</v>
      </c>
      <c r="D52" s="52" t="s">
        <v>1469</v>
      </c>
      <c r="E52" s="52" t="s">
        <v>1469</v>
      </c>
      <c r="F52" s="52" t="s">
        <v>1478</v>
      </c>
      <c r="G52" s="52" t="s">
        <v>1471</v>
      </c>
      <c r="H52" s="52" t="s">
        <v>583</v>
      </c>
      <c r="I52" s="52" t="s">
        <v>1570</v>
      </c>
      <c r="J52" s="52">
        <v>21.0</v>
      </c>
      <c r="K52" s="52" t="s">
        <v>1473</v>
      </c>
      <c r="L52" s="52">
        <v>116.0</v>
      </c>
      <c r="M52" s="52">
        <v>116.0</v>
      </c>
      <c r="N52" s="52" t="s">
        <v>355</v>
      </c>
      <c r="O52" s="52" t="s">
        <v>1578</v>
      </c>
      <c r="P52" s="52" t="s">
        <v>587</v>
      </c>
      <c r="Q52" s="52" t="s">
        <v>1578</v>
      </c>
      <c r="S52" s="52">
        <v>1.1980815E8</v>
      </c>
      <c r="T52" s="52">
        <v>8625.0</v>
      </c>
      <c r="U52" s="52">
        <v>5725.0</v>
      </c>
      <c r="V52" s="52" t="s">
        <v>313</v>
      </c>
      <c r="W52" s="69">
        <v>45672.0</v>
      </c>
      <c r="X52" s="70">
        <v>46020.0</v>
      </c>
      <c r="Z52" s="70">
        <v>46020.0</v>
      </c>
      <c r="AA52" s="52" t="s">
        <v>42</v>
      </c>
    </row>
    <row r="53">
      <c r="A53" s="52">
        <v>51.0</v>
      </c>
      <c r="B53" s="52" t="s">
        <v>359</v>
      </c>
      <c r="C53" s="52" t="s">
        <v>361</v>
      </c>
      <c r="D53" s="52" t="s">
        <v>1482</v>
      </c>
      <c r="E53" s="52" t="s">
        <v>1482</v>
      </c>
      <c r="F53" s="52" t="s">
        <v>1478</v>
      </c>
      <c r="G53" s="52" t="s">
        <v>1471</v>
      </c>
      <c r="H53" s="52" t="s">
        <v>583</v>
      </c>
      <c r="I53" s="52" t="s">
        <v>1472</v>
      </c>
      <c r="J53" s="52">
        <v>17.0</v>
      </c>
      <c r="K53" s="52" t="s">
        <v>1473</v>
      </c>
      <c r="L53" s="52">
        <v>60.0</v>
      </c>
      <c r="M53" s="52">
        <v>37.0</v>
      </c>
      <c r="N53" s="52" t="s">
        <v>1592</v>
      </c>
      <c r="O53" s="52" t="s">
        <v>1593</v>
      </c>
      <c r="P53" s="52" t="s">
        <v>587</v>
      </c>
      <c r="Q53" s="52" t="s">
        <v>1593</v>
      </c>
      <c r="R53" s="52" t="s">
        <v>1594</v>
      </c>
      <c r="S53" s="52">
        <v>9.5151E7</v>
      </c>
      <c r="T53" s="52">
        <v>6925.0</v>
      </c>
      <c r="U53" s="52">
        <v>6625.0</v>
      </c>
      <c r="V53" s="52" t="s">
        <v>53</v>
      </c>
      <c r="W53" s="69">
        <v>45673.0</v>
      </c>
      <c r="X53" s="70">
        <v>46020.0</v>
      </c>
      <c r="Y53" s="52">
        <v>8.0</v>
      </c>
      <c r="Z53" s="70">
        <v>46022.0</v>
      </c>
      <c r="AA53" s="52" t="s">
        <v>42</v>
      </c>
    </row>
    <row r="54">
      <c r="A54" s="52">
        <v>52.0</v>
      </c>
      <c r="B54" s="52" t="s">
        <v>364</v>
      </c>
      <c r="C54" s="52" t="s">
        <v>366</v>
      </c>
      <c r="D54" s="52" t="s">
        <v>1477</v>
      </c>
      <c r="E54" s="52" t="s">
        <v>1489</v>
      </c>
      <c r="F54" s="52" t="s">
        <v>1478</v>
      </c>
      <c r="G54" s="52" t="s">
        <v>1471</v>
      </c>
      <c r="H54" s="52" t="s">
        <v>583</v>
      </c>
      <c r="I54" s="52" t="s">
        <v>1595</v>
      </c>
      <c r="J54" s="52">
        <v>15.0</v>
      </c>
      <c r="K54" s="52" t="s">
        <v>1473</v>
      </c>
      <c r="L54" s="52">
        <v>192.0</v>
      </c>
      <c r="M54" s="52">
        <v>192.0</v>
      </c>
      <c r="N54" s="52" t="s">
        <v>1596</v>
      </c>
      <c r="O54" s="52" t="s">
        <v>1597</v>
      </c>
      <c r="P54" s="52" t="s">
        <v>587</v>
      </c>
      <c r="Q54" s="52" t="s">
        <v>1597</v>
      </c>
      <c r="S54" s="52">
        <v>7.735774E7</v>
      </c>
      <c r="T54" s="52">
        <v>7225.0</v>
      </c>
      <c r="U54" s="52">
        <v>5925.0</v>
      </c>
      <c r="V54" s="52" t="s">
        <v>367</v>
      </c>
      <c r="W54" s="69">
        <v>45673.0</v>
      </c>
      <c r="X54" s="70">
        <v>46021.0</v>
      </c>
      <c r="Z54" s="70">
        <v>46021.0</v>
      </c>
      <c r="AA54" s="52" t="s">
        <v>42</v>
      </c>
    </row>
    <row r="55">
      <c r="A55" s="52">
        <v>53.0</v>
      </c>
      <c r="B55" s="52" t="s">
        <v>371</v>
      </c>
      <c r="C55" s="52" t="s">
        <v>373</v>
      </c>
      <c r="D55" s="52" t="s">
        <v>1487</v>
      </c>
      <c r="E55" s="52" t="s">
        <v>1489</v>
      </c>
      <c r="F55" s="52" t="s">
        <v>1478</v>
      </c>
      <c r="G55" s="52" t="s">
        <v>1471</v>
      </c>
      <c r="H55" s="52" t="s">
        <v>583</v>
      </c>
      <c r="I55" s="52" t="s">
        <v>1538</v>
      </c>
      <c r="J55" s="52">
        <v>15.0</v>
      </c>
      <c r="K55" s="52" t="s">
        <v>1473</v>
      </c>
      <c r="L55" s="52">
        <v>107.0</v>
      </c>
      <c r="M55" s="52">
        <v>35.0</v>
      </c>
      <c r="N55" s="52" t="s">
        <v>1598</v>
      </c>
      <c r="O55" s="52" t="s">
        <v>1599</v>
      </c>
      <c r="P55" s="52" t="s">
        <v>587</v>
      </c>
      <c r="Q55" s="52" t="s">
        <v>1599</v>
      </c>
      <c r="S55" s="52">
        <v>8.05E7</v>
      </c>
      <c r="T55" s="52">
        <v>7125.0</v>
      </c>
      <c r="U55" s="52">
        <v>6225.0</v>
      </c>
      <c r="V55" s="52" t="s">
        <v>374</v>
      </c>
      <c r="W55" s="69">
        <v>45673.0</v>
      </c>
      <c r="X55" s="70">
        <v>46021.0</v>
      </c>
      <c r="Z55" s="70">
        <v>46021.0</v>
      </c>
      <c r="AA55" s="52" t="s">
        <v>42</v>
      </c>
    </row>
    <row r="56">
      <c r="A56" s="52">
        <v>54.0</v>
      </c>
      <c r="B56" s="52" t="s">
        <v>377</v>
      </c>
      <c r="C56" s="52" t="s">
        <v>379</v>
      </c>
      <c r="D56" s="52" t="s">
        <v>1469</v>
      </c>
      <c r="E56" s="52" t="s">
        <v>1469</v>
      </c>
      <c r="F56" s="52" t="s">
        <v>1470</v>
      </c>
      <c r="G56" s="52" t="s">
        <v>1471</v>
      </c>
      <c r="H56" s="52" t="s">
        <v>583</v>
      </c>
      <c r="I56" s="52" t="s">
        <v>1600</v>
      </c>
      <c r="J56" s="52">
        <v>18.0</v>
      </c>
      <c r="K56" s="52" t="s">
        <v>1473</v>
      </c>
      <c r="L56" s="52">
        <v>39.0</v>
      </c>
      <c r="M56" s="52">
        <v>39.0</v>
      </c>
      <c r="N56" s="52" t="s">
        <v>756</v>
      </c>
      <c r="O56" s="52" t="s">
        <v>1523</v>
      </c>
      <c r="P56" s="52" t="s">
        <v>1524</v>
      </c>
      <c r="Q56" s="52" t="s">
        <v>1525</v>
      </c>
      <c r="S56" s="52">
        <v>9.815E7</v>
      </c>
      <c r="T56" s="52">
        <v>9625.0</v>
      </c>
      <c r="U56" s="52">
        <v>5825.0</v>
      </c>
      <c r="V56" s="52" t="s">
        <v>91</v>
      </c>
      <c r="W56" s="69">
        <v>45673.0</v>
      </c>
      <c r="X56" s="70">
        <v>46006.0</v>
      </c>
      <c r="Z56" s="70">
        <v>46006.0</v>
      </c>
      <c r="AA56" s="52" t="s">
        <v>42</v>
      </c>
    </row>
    <row r="57">
      <c r="A57" s="52">
        <v>55.0</v>
      </c>
      <c r="B57" s="52" t="s">
        <v>381</v>
      </c>
      <c r="C57" s="52" t="s">
        <v>383</v>
      </c>
      <c r="D57" s="52" t="s">
        <v>1520</v>
      </c>
      <c r="E57" s="52" t="s">
        <v>1520</v>
      </c>
      <c r="F57" s="52" t="s">
        <v>1478</v>
      </c>
      <c r="G57" s="52" t="s">
        <v>1471</v>
      </c>
      <c r="H57" s="52" t="s">
        <v>583</v>
      </c>
      <c r="I57" s="52" t="s">
        <v>1479</v>
      </c>
      <c r="J57" s="52">
        <v>21.0</v>
      </c>
      <c r="K57" s="52" t="s">
        <v>1473</v>
      </c>
      <c r="L57" s="52">
        <v>45.0</v>
      </c>
      <c r="M57" s="52">
        <v>45.0</v>
      </c>
      <c r="N57" s="52" t="s">
        <v>382</v>
      </c>
      <c r="O57" s="52" t="s">
        <v>1578</v>
      </c>
      <c r="P57" s="52" t="s">
        <v>1601</v>
      </c>
      <c r="Q57" s="52" t="s">
        <v>1602</v>
      </c>
      <c r="R57" s="72">
        <v>-7.144308E7</v>
      </c>
      <c r="S57" s="52">
        <v>4.896507E7</v>
      </c>
      <c r="T57" s="52">
        <v>7525.0</v>
      </c>
      <c r="U57" s="52">
        <v>7525.0</v>
      </c>
      <c r="V57" s="52" t="s">
        <v>384</v>
      </c>
      <c r="W57" s="69">
        <v>45677.0</v>
      </c>
      <c r="X57" s="70">
        <v>46022.0</v>
      </c>
      <c r="Z57" s="70">
        <v>46022.0</v>
      </c>
      <c r="AA57" s="52" t="s">
        <v>72</v>
      </c>
    </row>
    <row r="58">
      <c r="A58" s="52">
        <v>56.0</v>
      </c>
      <c r="B58" s="52" t="s">
        <v>386</v>
      </c>
      <c r="C58" s="52" t="s">
        <v>1603</v>
      </c>
      <c r="D58" s="52" t="s">
        <v>1520</v>
      </c>
      <c r="E58" s="52" t="s">
        <v>1520</v>
      </c>
      <c r="F58" s="52" t="s">
        <v>1478</v>
      </c>
      <c r="G58" s="52" t="s">
        <v>1471</v>
      </c>
      <c r="H58" s="52" t="s">
        <v>583</v>
      </c>
      <c r="I58" s="52" t="s">
        <v>1573</v>
      </c>
      <c r="J58" s="52">
        <v>21.0</v>
      </c>
      <c r="K58" s="52" t="s">
        <v>1473</v>
      </c>
      <c r="L58" s="52">
        <v>46.0</v>
      </c>
      <c r="M58" s="52">
        <v>46.0</v>
      </c>
      <c r="N58" s="52" t="s">
        <v>387</v>
      </c>
      <c r="O58" s="52" t="s">
        <v>1578</v>
      </c>
      <c r="P58" s="52" t="s">
        <v>1604</v>
      </c>
      <c r="Q58" s="52" t="s">
        <v>1605</v>
      </c>
      <c r="R58" s="72">
        <v>-7.0478554E7</v>
      </c>
      <c r="S58" s="52">
        <v>5.0729596E7</v>
      </c>
      <c r="T58" s="52">
        <v>7625.0</v>
      </c>
      <c r="U58" s="52">
        <v>7025.0</v>
      </c>
      <c r="V58" s="52" t="s">
        <v>384</v>
      </c>
      <c r="W58" s="69">
        <v>45674.0</v>
      </c>
      <c r="X58" s="70">
        <v>46022.0</v>
      </c>
      <c r="Z58" s="70">
        <v>46022.0</v>
      </c>
      <c r="AA58" s="52" t="s">
        <v>72</v>
      </c>
    </row>
    <row r="59">
      <c r="A59" s="52">
        <v>57.0</v>
      </c>
      <c r="B59" s="52" t="s">
        <v>392</v>
      </c>
      <c r="C59" s="52" t="s">
        <v>394</v>
      </c>
      <c r="D59" s="52" t="s">
        <v>1477</v>
      </c>
      <c r="E59" s="52" t="s">
        <v>1477</v>
      </c>
      <c r="F59" s="52" t="s">
        <v>1478</v>
      </c>
      <c r="G59" s="52" t="s">
        <v>1471</v>
      </c>
      <c r="H59" s="52" t="s">
        <v>583</v>
      </c>
      <c r="I59" s="52" t="s">
        <v>1541</v>
      </c>
      <c r="J59" s="52">
        <v>19.0</v>
      </c>
      <c r="K59" s="52" t="s">
        <v>1473</v>
      </c>
      <c r="L59" s="52">
        <v>178.0</v>
      </c>
      <c r="M59" s="52">
        <v>178.0</v>
      </c>
      <c r="N59" s="52" t="s">
        <v>393</v>
      </c>
      <c r="O59" s="52" t="s">
        <v>1606</v>
      </c>
      <c r="P59" s="52" t="s">
        <v>587</v>
      </c>
      <c r="Q59" s="52" t="s">
        <v>1606</v>
      </c>
      <c r="S59" s="52">
        <v>8.1E7</v>
      </c>
      <c r="T59" s="52">
        <v>4725.0</v>
      </c>
      <c r="U59" s="52">
        <v>6525.0</v>
      </c>
      <c r="V59" s="52" t="s">
        <v>47</v>
      </c>
      <c r="W59" s="69">
        <v>45673.0</v>
      </c>
      <c r="X59" s="70">
        <v>45945.0</v>
      </c>
      <c r="Z59" s="70">
        <v>45945.0</v>
      </c>
      <c r="AA59" s="52" t="s">
        <v>42</v>
      </c>
    </row>
    <row r="60">
      <c r="A60" s="52">
        <v>58.0</v>
      </c>
      <c r="B60" s="52" t="s">
        <v>396</v>
      </c>
      <c r="C60" s="52" t="s">
        <v>1607</v>
      </c>
      <c r="D60" s="52" t="s">
        <v>1477</v>
      </c>
      <c r="E60" s="52" t="s">
        <v>1477</v>
      </c>
      <c r="F60" s="52" t="s">
        <v>1470</v>
      </c>
      <c r="G60" s="52" t="s">
        <v>1471</v>
      </c>
      <c r="H60" s="52" t="s">
        <v>583</v>
      </c>
      <c r="I60" s="52" t="s">
        <v>1472</v>
      </c>
      <c r="J60" s="52">
        <v>16.0</v>
      </c>
      <c r="K60" s="52" t="s">
        <v>1473</v>
      </c>
      <c r="L60" s="52">
        <v>32.0</v>
      </c>
      <c r="M60" s="52">
        <v>32.0</v>
      </c>
      <c r="N60" s="52" t="s">
        <v>397</v>
      </c>
      <c r="O60" s="52" t="s">
        <v>1608</v>
      </c>
      <c r="P60" s="52" t="s">
        <v>587</v>
      </c>
      <c r="Q60" s="52" t="s">
        <v>1608</v>
      </c>
      <c r="S60" s="52">
        <v>9.0933329E7</v>
      </c>
      <c r="T60" s="52">
        <v>6425.0</v>
      </c>
      <c r="U60" s="52">
        <v>6425.0</v>
      </c>
      <c r="V60" s="52" t="s">
        <v>145</v>
      </c>
      <c r="W60" s="69">
        <v>45673.0</v>
      </c>
      <c r="X60" s="70">
        <v>46022.0</v>
      </c>
      <c r="Z60" s="70">
        <v>46022.0</v>
      </c>
      <c r="AA60" s="52" t="s">
        <v>42</v>
      </c>
    </row>
    <row r="61">
      <c r="A61" s="52">
        <v>59.0</v>
      </c>
      <c r="B61" s="52" t="s">
        <v>402</v>
      </c>
      <c r="C61" s="52" t="s">
        <v>404</v>
      </c>
      <c r="D61" s="52" t="s">
        <v>1540</v>
      </c>
      <c r="E61" s="52" t="s">
        <v>1540</v>
      </c>
      <c r="F61" s="52" t="s">
        <v>1478</v>
      </c>
      <c r="G61" s="52" t="s">
        <v>1471</v>
      </c>
      <c r="H61" s="52" t="s">
        <v>583</v>
      </c>
      <c r="I61" s="52" t="s">
        <v>1528</v>
      </c>
      <c r="J61" s="52">
        <v>12.0</v>
      </c>
      <c r="K61" s="52" t="s">
        <v>1473</v>
      </c>
      <c r="L61" s="52">
        <v>48.0</v>
      </c>
      <c r="M61" s="52">
        <v>9.0</v>
      </c>
      <c r="N61" s="52" t="s">
        <v>403</v>
      </c>
      <c r="O61" s="52" t="s">
        <v>1609</v>
      </c>
      <c r="P61" s="52" t="s">
        <v>587</v>
      </c>
      <c r="Q61" s="52" t="s">
        <v>1609</v>
      </c>
      <c r="R61" s="71">
        <v>-182433.0</v>
      </c>
      <c r="S61" s="52">
        <v>6.2757067E7</v>
      </c>
      <c r="T61" s="52">
        <v>10115.0</v>
      </c>
      <c r="U61" s="52">
        <v>7425.0</v>
      </c>
      <c r="V61" s="52" t="s">
        <v>228</v>
      </c>
      <c r="W61" s="69">
        <v>45674.0</v>
      </c>
      <c r="X61" s="70">
        <v>46022.0</v>
      </c>
      <c r="Z61" s="70">
        <v>46022.0</v>
      </c>
      <c r="AA61" s="52" t="s">
        <v>42</v>
      </c>
    </row>
    <row r="62">
      <c r="A62" s="52">
        <v>60.0</v>
      </c>
      <c r="B62" s="52" t="s">
        <v>407</v>
      </c>
      <c r="C62" s="52" t="s">
        <v>409</v>
      </c>
      <c r="D62" s="52" t="s">
        <v>1497</v>
      </c>
      <c r="E62" s="52" t="s">
        <v>1497</v>
      </c>
      <c r="F62" s="52" t="s">
        <v>1478</v>
      </c>
      <c r="G62" s="52" t="s">
        <v>1471</v>
      </c>
      <c r="H62" s="52" t="s">
        <v>583</v>
      </c>
      <c r="I62" s="52" t="s">
        <v>1526</v>
      </c>
      <c r="J62" s="52">
        <v>6.0</v>
      </c>
      <c r="K62" s="52" t="s">
        <v>1483</v>
      </c>
      <c r="L62" s="52">
        <v>25.0</v>
      </c>
      <c r="M62" s="52">
        <v>16.0</v>
      </c>
      <c r="N62" s="52" t="s">
        <v>408</v>
      </c>
      <c r="O62" s="52" t="s">
        <v>1610</v>
      </c>
      <c r="P62" s="52" t="s">
        <v>587</v>
      </c>
      <c r="Q62" s="52" t="s">
        <v>1610</v>
      </c>
      <c r="R62" s="72">
        <v>-140910.0</v>
      </c>
      <c r="S62" s="52">
        <v>4.847304E7</v>
      </c>
      <c r="T62" s="52">
        <v>4425.0</v>
      </c>
      <c r="U62" s="52">
        <v>7325.0</v>
      </c>
      <c r="V62" s="52" t="s">
        <v>77</v>
      </c>
      <c r="W62" s="69">
        <v>45674.0</v>
      </c>
      <c r="X62" s="70">
        <v>46022.0</v>
      </c>
      <c r="Z62" s="70">
        <v>46022.0</v>
      </c>
      <c r="AA62" s="52" t="s">
        <v>42</v>
      </c>
    </row>
    <row r="63">
      <c r="A63" s="52">
        <v>61.0</v>
      </c>
      <c r="B63" s="52" t="s">
        <v>412</v>
      </c>
      <c r="C63" s="52" t="s">
        <v>1611</v>
      </c>
      <c r="D63" s="52" t="s">
        <v>1469</v>
      </c>
      <c r="E63" s="52" t="s">
        <v>1469</v>
      </c>
      <c r="F63" s="52" t="s">
        <v>1478</v>
      </c>
      <c r="G63" s="52" t="s">
        <v>1471</v>
      </c>
      <c r="H63" s="52" t="s">
        <v>583</v>
      </c>
      <c r="I63" s="52" t="s">
        <v>1612</v>
      </c>
      <c r="J63" s="52">
        <v>19.0</v>
      </c>
      <c r="K63" s="52" t="s">
        <v>1473</v>
      </c>
      <c r="L63" s="52">
        <v>44.0</v>
      </c>
      <c r="M63" s="52">
        <v>44.0</v>
      </c>
      <c r="N63" s="52" t="s">
        <v>413</v>
      </c>
      <c r="O63" s="52" t="s">
        <v>1613</v>
      </c>
      <c r="P63" s="52" t="s">
        <v>1614</v>
      </c>
      <c r="Q63" s="52" t="s">
        <v>1615</v>
      </c>
      <c r="S63" s="52">
        <v>1.140975E8</v>
      </c>
      <c r="T63" s="52">
        <v>10225.0</v>
      </c>
      <c r="U63" s="52">
        <v>6925.0</v>
      </c>
      <c r="V63" s="52" t="s">
        <v>415</v>
      </c>
      <c r="W63" s="69">
        <v>45674.0</v>
      </c>
      <c r="X63" s="70">
        <v>46013.0</v>
      </c>
      <c r="Z63" s="70">
        <v>46013.0</v>
      </c>
      <c r="AA63" s="52" t="s">
        <v>42</v>
      </c>
    </row>
    <row r="64">
      <c r="A64" s="52">
        <v>62.0</v>
      </c>
      <c r="B64" s="52" t="s">
        <v>417</v>
      </c>
      <c r="C64" s="52" t="s">
        <v>419</v>
      </c>
      <c r="D64" s="52" t="s">
        <v>1482</v>
      </c>
      <c r="E64" s="52" t="s">
        <v>1482</v>
      </c>
      <c r="F64" s="52" t="s">
        <v>1478</v>
      </c>
      <c r="G64" s="52" t="s">
        <v>1471</v>
      </c>
      <c r="H64" s="52" t="s">
        <v>583</v>
      </c>
      <c r="I64" s="52" t="s">
        <v>1504</v>
      </c>
      <c r="J64" s="52">
        <v>23.0</v>
      </c>
      <c r="K64" s="52" t="s">
        <v>1473</v>
      </c>
      <c r="L64" s="52">
        <v>57.0</v>
      </c>
      <c r="M64" s="52">
        <v>57.0</v>
      </c>
      <c r="N64" s="52" t="s">
        <v>1616</v>
      </c>
      <c r="O64" s="52" t="s">
        <v>1617</v>
      </c>
      <c r="P64" s="52" t="s">
        <v>587</v>
      </c>
      <c r="Q64" s="52" t="s">
        <v>1617</v>
      </c>
      <c r="R64" s="52" t="s">
        <v>1618</v>
      </c>
      <c r="S64" s="52">
        <v>1.45110867E8</v>
      </c>
      <c r="T64" s="52">
        <v>10025.0</v>
      </c>
      <c r="U64" s="52">
        <v>9425.0</v>
      </c>
      <c r="V64" s="52" t="s">
        <v>1619</v>
      </c>
      <c r="W64" s="69">
        <v>45678.0</v>
      </c>
      <c r="X64" s="70">
        <v>46018.0</v>
      </c>
      <c r="Y64" s="52">
        <v>3.0</v>
      </c>
      <c r="Z64" s="70">
        <v>46022.0</v>
      </c>
      <c r="AA64" s="52" t="s">
        <v>42</v>
      </c>
    </row>
    <row r="65">
      <c r="A65" s="52">
        <v>63.0</v>
      </c>
      <c r="B65" s="52" t="s">
        <v>424</v>
      </c>
      <c r="C65" s="52" t="s">
        <v>1620</v>
      </c>
      <c r="D65" s="52" t="s">
        <v>1513</v>
      </c>
      <c r="E65" s="52" t="s">
        <v>1513</v>
      </c>
      <c r="F65" s="52" t="s">
        <v>1478</v>
      </c>
      <c r="G65" s="52" t="s">
        <v>1471</v>
      </c>
      <c r="H65" s="52" t="s">
        <v>583</v>
      </c>
      <c r="I65" s="52" t="s">
        <v>1621</v>
      </c>
      <c r="J65" s="52">
        <v>17.0</v>
      </c>
      <c r="K65" s="52" t="s">
        <v>1473</v>
      </c>
      <c r="L65" s="52">
        <v>54.0</v>
      </c>
      <c r="M65" s="52">
        <v>24.0</v>
      </c>
      <c r="N65" s="52" t="s">
        <v>425</v>
      </c>
      <c r="O65" s="52" t="s">
        <v>1508</v>
      </c>
      <c r="P65" s="52" t="s">
        <v>587</v>
      </c>
      <c r="Q65" s="52" t="s">
        <v>1508</v>
      </c>
      <c r="R65" s="71">
        <v>-1066667.0</v>
      </c>
      <c r="S65" s="52">
        <v>9.0933333E7</v>
      </c>
      <c r="T65" s="52">
        <v>9325.0</v>
      </c>
      <c r="U65" s="52">
        <v>7825.0</v>
      </c>
      <c r="V65" s="52" t="s">
        <v>1622</v>
      </c>
      <c r="W65" s="69">
        <v>45677.0</v>
      </c>
      <c r="X65" s="70">
        <v>46022.0</v>
      </c>
      <c r="Z65" s="70">
        <v>46022.0</v>
      </c>
      <c r="AA65" s="52" t="s">
        <v>42</v>
      </c>
    </row>
    <row r="66">
      <c r="A66" s="52">
        <v>64.0</v>
      </c>
      <c r="B66" s="52" t="s">
        <v>430</v>
      </c>
      <c r="C66" s="52" t="s">
        <v>432</v>
      </c>
      <c r="D66" s="52" t="s">
        <v>1489</v>
      </c>
      <c r="E66" s="52" t="s">
        <v>1489</v>
      </c>
      <c r="F66" s="52" t="s">
        <v>1478</v>
      </c>
      <c r="G66" s="52" t="s">
        <v>1471</v>
      </c>
      <c r="H66" s="52" t="s">
        <v>583</v>
      </c>
      <c r="I66" s="52" t="s">
        <v>1472</v>
      </c>
      <c r="J66" s="52">
        <v>14.0</v>
      </c>
      <c r="K66" s="52" t="s">
        <v>1473</v>
      </c>
      <c r="L66" s="52">
        <v>29.0</v>
      </c>
      <c r="M66" s="52">
        <v>16.0</v>
      </c>
      <c r="N66" s="52" t="s">
        <v>431</v>
      </c>
      <c r="O66" s="52" t="s">
        <v>1623</v>
      </c>
      <c r="P66" s="52" t="s">
        <v>587</v>
      </c>
      <c r="Q66" s="52" t="s">
        <v>1623</v>
      </c>
      <c r="R66" s="52">
        <v>-866667.0</v>
      </c>
      <c r="S66" s="52">
        <v>7.3883333E7</v>
      </c>
      <c r="T66" s="52">
        <v>1625.0</v>
      </c>
      <c r="U66" s="52">
        <v>7925.0</v>
      </c>
      <c r="V66" s="52" t="s">
        <v>367</v>
      </c>
      <c r="W66" s="69">
        <v>45677.0</v>
      </c>
      <c r="X66" s="70">
        <v>46022.0</v>
      </c>
      <c r="Z66" s="70">
        <v>46022.0</v>
      </c>
      <c r="AA66" s="52" t="s">
        <v>42</v>
      </c>
    </row>
    <row r="67">
      <c r="A67" s="52">
        <v>65.0</v>
      </c>
      <c r="B67" s="52" t="s">
        <v>1624</v>
      </c>
      <c r="C67" s="52" t="s">
        <v>437</v>
      </c>
      <c r="D67" s="52" t="s">
        <v>1469</v>
      </c>
      <c r="E67" s="52" t="s">
        <v>1469</v>
      </c>
      <c r="F67" s="52" t="s">
        <v>1470</v>
      </c>
      <c r="G67" s="52" t="s">
        <v>1471</v>
      </c>
      <c r="H67" s="52" t="s">
        <v>583</v>
      </c>
      <c r="I67" s="52" t="s">
        <v>1625</v>
      </c>
      <c r="J67" s="52">
        <v>12.0</v>
      </c>
      <c r="K67" s="52" t="s">
        <v>1473</v>
      </c>
      <c r="L67" s="52">
        <v>30.0</v>
      </c>
      <c r="M67" s="52">
        <v>15.0</v>
      </c>
      <c r="N67" s="52" t="s">
        <v>436</v>
      </c>
      <c r="O67" s="52" t="s">
        <v>1626</v>
      </c>
      <c r="P67" s="52" t="s">
        <v>587</v>
      </c>
      <c r="Q67" s="52" t="s">
        <v>1626</v>
      </c>
      <c r="S67" s="52">
        <v>5.9566867E7</v>
      </c>
      <c r="T67" s="52">
        <v>9725.0</v>
      </c>
      <c r="U67" s="52">
        <v>8025.0</v>
      </c>
      <c r="V67" s="52" t="s">
        <v>91</v>
      </c>
      <c r="W67" s="69">
        <v>45677.0</v>
      </c>
      <c r="X67" s="70">
        <v>45991.0</v>
      </c>
      <c r="Z67" s="70">
        <v>45991.0</v>
      </c>
      <c r="AA67" s="52" t="s">
        <v>42</v>
      </c>
    </row>
    <row r="68">
      <c r="A68" s="52">
        <v>66.0</v>
      </c>
      <c r="B68" s="52" t="s">
        <v>440</v>
      </c>
      <c r="C68" s="52" t="s">
        <v>442</v>
      </c>
      <c r="D68" s="52" t="s">
        <v>1487</v>
      </c>
      <c r="E68" s="52" t="s">
        <v>1487</v>
      </c>
      <c r="F68" s="52" t="s">
        <v>1478</v>
      </c>
      <c r="G68" s="52" t="s">
        <v>1471</v>
      </c>
      <c r="H68" s="52" t="s">
        <v>583</v>
      </c>
      <c r="I68" s="52" t="s">
        <v>1625</v>
      </c>
      <c r="J68" s="52">
        <v>7.0</v>
      </c>
      <c r="K68" s="52" t="s">
        <v>1483</v>
      </c>
      <c r="L68" s="52">
        <v>103.0</v>
      </c>
      <c r="M68" s="52">
        <v>29.0</v>
      </c>
      <c r="N68" s="52" t="s">
        <v>441</v>
      </c>
      <c r="O68" s="52" t="s">
        <v>1627</v>
      </c>
      <c r="P68" s="52" t="s">
        <v>587</v>
      </c>
      <c r="Q68" s="52" t="s">
        <v>1627</v>
      </c>
      <c r="S68" s="52">
        <v>4.95E7</v>
      </c>
      <c r="T68" s="52">
        <v>5425.0</v>
      </c>
      <c r="U68" s="52">
        <v>8425.0</v>
      </c>
      <c r="V68" s="52" t="s">
        <v>62</v>
      </c>
      <c r="W68" s="69">
        <v>45677.0</v>
      </c>
      <c r="X68" s="70">
        <v>46010.0</v>
      </c>
      <c r="Z68" s="70">
        <v>46010.0</v>
      </c>
      <c r="AA68" s="52" t="s">
        <v>42</v>
      </c>
    </row>
    <row r="69">
      <c r="A69" s="52">
        <v>67.0</v>
      </c>
      <c r="B69" s="52" t="s">
        <v>444</v>
      </c>
      <c r="C69" s="52" t="s">
        <v>446</v>
      </c>
      <c r="D69" s="52" t="s">
        <v>1487</v>
      </c>
      <c r="E69" s="52" t="s">
        <v>1487</v>
      </c>
      <c r="F69" s="52" t="s">
        <v>1478</v>
      </c>
      <c r="G69" s="52" t="s">
        <v>1471</v>
      </c>
      <c r="H69" s="52" t="s">
        <v>583</v>
      </c>
      <c r="I69" s="52" t="s">
        <v>1584</v>
      </c>
      <c r="J69" s="52">
        <v>21.0</v>
      </c>
      <c r="K69" s="52" t="s">
        <v>1473</v>
      </c>
      <c r="L69" s="52">
        <v>300.0</v>
      </c>
      <c r="M69" s="52">
        <v>119.0</v>
      </c>
      <c r="N69" s="52" t="s">
        <v>445</v>
      </c>
      <c r="O69" s="52" t="s">
        <v>1628</v>
      </c>
      <c r="P69" s="52" t="s">
        <v>587</v>
      </c>
      <c r="Q69" s="52" t="s">
        <v>1628</v>
      </c>
      <c r="S69" s="52">
        <v>8.46E7</v>
      </c>
      <c r="T69" s="52">
        <v>5625.0</v>
      </c>
      <c r="U69" s="52">
        <v>7625.0</v>
      </c>
      <c r="V69" s="52" t="s">
        <v>197</v>
      </c>
      <c r="W69" s="69">
        <v>45677.0</v>
      </c>
      <c r="X69" s="70">
        <v>45919.0</v>
      </c>
      <c r="Z69" s="70">
        <v>45919.0</v>
      </c>
      <c r="AA69" s="52" t="s">
        <v>42</v>
      </c>
    </row>
    <row r="70">
      <c r="A70" s="52">
        <v>68.0</v>
      </c>
      <c r="B70" s="52" t="s">
        <v>1629</v>
      </c>
      <c r="C70" s="52" t="s">
        <v>1630</v>
      </c>
      <c r="D70" s="52" t="s">
        <v>1540</v>
      </c>
      <c r="E70" s="52" t="s">
        <v>1540</v>
      </c>
      <c r="F70" s="52" t="s">
        <v>1478</v>
      </c>
      <c r="G70" s="52" t="s">
        <v>1471</v>
      </c>
      <c r="H70" s="52" t="s">
        <v>583</v>
      </c>
      <c r="I70" s="52" t="s">
        <v>1526</v>
      </c>
      <c r="J70" s="52">
        <v>18.0</v>
      </c>
      <c r="K70" s="52" t="s">
        <v>1473</v>
      </c>
      <c r="L70" s="52">
        <v>124.0</v>
      </c>
      <c r="M70" s="52">
        <v>114.0</v>
      </c>
      <c r="N70" s="52" t="s">
        <v>450</v>
      </c>
      <c r="O70" s="52" t="s">
        <v>1631</v>
      </c>
      <c r="P70" s="52" t="s">
        <v>587</v>
      </c>
      <c r="Q70" s="52" t="s">
        <v>1631</v>
      </c>
      <c r="R70" s="52" t="s">
        <v>1632</v>
      </c>
      <c r="S70" s="52">
        <v>4.5130067E7</v>
      </c>
      <c r="T70" s="52">
        <v>10425.0</v>
      </c>
      <c r="U70" s="52">
        <v>8825.0</v>
      </c>
      <c r="V70" s="52" t="s">
        <v>228</v>
      </c>
      <c r="W70" s="69">
        <v>45680.0</v>
      </c>
      <c r="X70" s="70">
        <v>45784.0</v>
      </c>
      <c r="Y70" s="52">
        <v>60.0</v>
      </c>
      <c r="Z70" s="70">
        <v>45838.0</v>
      </c>
      <c r="AA70" s="52" t="s">
        <v>42</v>
      </c>
    </row>
    <row r="71">
      <c r="A71" s="52">
        <v>69.0</v>
      </c>
      <c r="B71" s="52" t="s">
        <v>1633</v>
      </c>
      <c r="C71" s="52" t="s">
        <v>1634</v>
      </c>
      <c r="D71" s="52" t="s">
        <v>1540</v>
      </c>
      <c r="E71" s="52" t="s">
        <v>1540</v>
      </c>
      <c r="F71" s="52" t="s">
        <v>1478</v>
      </c>
      <c r="G71" s="52" t="s">
        <v>1471</v>
      </c>
      <c r="H71" s="52" t="s">
        <v>583</v>
      </c>
      <c r="I71" s="52" t="s">
        <v>1526</v>
      </c>
      <c r="J71" s="52">
        <v>13.0</v>
      </c>
      <c r="K71" s="52" t="s">
        <v>1473</v>
      </c>
      <c r="L71" s="52">
        <v>31.0</v>
      </c>
      <c r="M71" s="52">
        <v>19.0</v>
      </c>
      <c r="N71" s="52" t="s">
        <v>456</v>
      </c>
      <c r="O71" s="52" t="s">
        <v>1635</v>
      </c>
      <c r="P71" s="52" t="s">
        <v>587</v>
      </c>
      <c r="Q71" s="52" t="s">
        <v>1635</v>
      </c>
      <c r="R71" s="52" t="s">
        <v>1636</v>
      </c>
      <c r="S71" s="52">
        <v>3.1824333E7</v>
      </c>
      <c r="T71" s="52">
        <v>10525.0</v>
      </c>
      <c r="U71" s="52">
        <v>8725.0</v>
      </c>
      <c r="V71" s="52" t="s">
        <v>228</v>
      </c>
      <c r="W71" s="69">
        <v>45677.0</v>
      </c>
      <c r="X71" s="70">
        <v>45781.0</v>
      </c>
      <c r="Y71" s="52">
        <v>60.0</v>
      </c>
      <c r="Z71" s="70">
        <v>45838.0</v>
      </c>
      <c r="AA71" s="52" t="s">
        <v>42</v>
      </c>
    </row>
    <row r="72">
      <c r="A72" s="52">
        <v>70.0</v>
      </c>
      <c r="B72" s="52" t="s">
        <v>461</v>
      </c>
      <c r="C72" s="52" t="s">
        <v>463</v>
      </c>
      <c r="D72" s="52" t="s">
        <v>1487</v>
      </c>
      <c r="E72" s="52" t="s">
        <v>1487</v>
      </c>
      <c r="F72" s="52" t="s">
        <v>1478</v>
      </c>
      <c r="G72" s="52" t="s">
        <v>1471</v>
      </c>
      <c r="H72" s="52" t="s">
        <v>583</v>
      </c>
      <c r="I72" s="52" t="s">
        <v>1625</v>
      </c>
      <c r="J72" s="52">
        <v>17.0</v>
      </c>
      <c r="K72" s="52" t="s">
        <v>1473</v>
      </c>
      <c r="L72" s="52">
        <v>46.0</v>
      </c>
      <c r="M72" s="52">
        <v>26.0</v>
      </c>
      <c r="N72" s="52" t="s">
        <v>462</v>
      </c>
      <c r="O72" s="52" t="s">
        <v>1539</v>
      </c>
      <c r="P72" s="52" t="s">
        <v>587</v>
      </c>
      <c r="Q72" s="52" t="s">
        <v>1539</v>
      </c>
      <c r="S72" s="52">
        <v>8.0E7</v>
      </c>
      <c r="T72" s="52">
        <v>5325.0</v>
      </c>
      <c r="U72" s="52">
        <v>9325.0</v>
      </c>
      <c r="V72" s="52" t="s">
        <v>62</v>
      </c>
      <c r="W72" s="69">
        <v>45678.0</v>
      </c>
      <c r="X72" s="70">
        <v>45981.0</v>
      </c>
      <c r="Z72" s="70">
        <v>45981.0</v>
      </c>
      <c r="AA72" s="52" t="s">
        <v>42</v>
      </c>
    </row>
    <row r="73">
      <c r="A73" s="52">
        <v>71.0</v>
      </c>
      <c r="B73" s="52" t="s">
        <v>465</v>
      </c>
      <c r="C73" s="52" t="s">
        <v>1637</v>
      </c>
      <c r="D73" s="52" t="s">
        <v>1540</v>
      </c>
      <c r="E73" s="52" t="s">
        <v>1540</v>
      </c>
      <c r="F73" s="52" t="s">
        <v>1478</v>
      </c>
      <c r="G73" s="52" t="s">
        <v>1471</v>
      </c>
      <c r="H73" s="52" t="s">
        <v>583</v>
      </c>
      <c r="I73" s="52" t="s">
        <v>1526</v>
      </c>
      <c r="J73" s="52">
        <v>13.0</v>
      </c>
      <c r="K73" s="52" t="s">
        <v>1473</v>
      </c>
      <c r="L73" s="52">
        <v>47.0</v>
      </c>
      <c r="M73" s="52">
        <v>11.0</v>
      </c>
      <c r="N73" s="52" t="s">
        <v>466</v>
      </c>
      <c r="O73" s="52" t="s">
        <v>1635</v>
      </c>
      <c r="P73" s="52" t="s">
        <v>587</v>
      </c>
      <c r="Q73" s="52" t="s">
        <v>1635</v>
      </c>
      <c r="R73" s="52" t="s">
        <v>1636</v>
      </c>
      <c r="S73" s="52">
        <v>3.1824333E7</v>
      </c>
      <c r="T73" s="52">
        <v>10725.0</v>
      </c>
      <c r="U73" s="52">
        <v>8325.0</v>
      </c>
      <c r="V73" s="52" t="s">
        <v>228</v>
      </c>
      <c r="W73" s="69">
        <v>45677.0</v>
      </c>
      <c r="X73" s="70">
        <v>45781.0</v>
      </c>
      <c r="Y73" s="52">
        <v>60.0</v>
      </c>
      <c r="Z73" s="70">
        <v>45838.0</v>
      </c>
      <c r="AA73" s="52" t="s">
        <v>42</v>
      </c>
    </row>
    <row r="74">
      <c r="A74" s="52">
        <v>72.0</v>
      </c>
      <c r="B74" s="52" t="s">
        <v>470</v>
      </c>
      <c r="C74" s="52" t="s">
        <v>1638</v>
      </c>
      <c r="D74" s="52" t="s">
        <v>1639</v>
      </c>
      <c r="E74" s="52" t="s">
        <v>1640</v>
      </c>
      <c r="F74" s="52" t="s">
        <v>1478</v>
      </c>
      <c r="G74" s="52" t="s">
        <v>1471</v>
      </c>
      <c r="H74" s="52" t="s">
        <v>583</v>
      </c>
      <c r="I74" s="52" t="s">
        <v>1641</v>
      </c>
      <c r="J74" s="52">
        <v>18.0</v>
      </c>
      <c r="K74" s="52" t="s">
        <v>1473</v>
      </c>
      <c r="L74" s="52">
        <v>65.0</v>
      </c>
      <c r="M74" s="52">
        <v>28.0</v>
      </c>
      <c r="N74" s="52" t="s">
        <v>471</v>
      </c>
      <c r="O74" s="52" t="s">
        <v>1642</v>
      </c>
      <c r="P74" s="52" t="s">
        <v>587</v>
      </c>
      <c r="Q74" s="52" t="s">
        <v>1642</v>
      </c>
      <c r="S74" s="52">
        <v>9.775E7</v>
      </c>
      <c r="T74" s="52">
        <v>9925.0</v>
      </c>
      <c r="U74" s="52">
        <v>8525.0</v>
      </c>
      <c r="V74" s="52" t="s">
        <v>1643</v>
      </c>
      <c r="W74" s="69">
        <v>45677.0</v>
      </c>
      <c r="X74" s="70">
        <v>46022.0</v>
      </c>
      <c r="Z74" s="70">
        <v>46022.0</v>
      </c>
      <c r="AA74" s="52" t="s">
        <v>42</v>
      </c>
    </row>
    <row r="75">
      <c r="A75" s="52">
        <v>73.0</v>
      </c>
      <c r="B75" s="52" t="s">
        <v>477</v>
      </c>
      <c r="C75" s="52" t="s">
        <v>1644</v>
      </c>
      <c r="D75" s="52" t="s">
        <v>1540</v>
      </c>
      <c r="E75" s="52" t="s">
        <v>1540</v>
      </c>
      <c r="F75" s="52" t="s">
        <v>1478</v>
      </c>
      <c r="G75" s="52" t="s">
        <v>1471</v>
      </c>
      <c r="H75" s="52" t="s">
        <v>583</v>
      </c>
      <c r="I75" s="52" t="s">
        <v>1526</v>
      </c>
      <c r="J75" s="52">
        <v>15.0</v>
      </c>
      <c r="K75" s="52" t="s">
        <v>1473</v>
      </c>
      <c r="L75" s="52">
        <v>48.0</v>
      </c>
      <c r="M75" s="52">
        <v>17.0</v>
      </c>
      <c r="N75" s="52" t="s">
        <v>478</v>
      </c>
      <c r="O75" s="52" t="s">
        <v>1645</v>
      </c>
      <c r="P75" s="52" t="s">
        <v>587</v>
      </c>
      <c r="Q75" s="52" t="s">
        <v>1645</v>
      </c>
      <c r="R75" s="52" t="s">
        <v>1646</v>
      </c>
      <c r="S75" s="52">
        <v>3.7652533E7</v>
      </c>
      <c r="T75" s="52">
        <v>10325.0</v>
      </c>
      <c r="U75" s="52">
        <v>8625.0</v>
      </c>
      <c r="V75" s="52" t="s">
        <v>228</v>
      </c>
      <c r="W75" s="69">
        <v>45677.0</v>
      </c>
      <c r="X75" s="70">
        <v>45781.0</v>
      </c>
      <c r="Y75" s="52">
        <v>60.0</v>
      </c>
      <c r="Z75" s="70">
        <v>45838.0</v>
      </c>
      <c r="AA75" s="52" t="s">
        <v>42</v>
      </c>
    </row>
    <row r="76">
      <c r="A76" s="52">
        <v>74.0</v>
      </c>
      <c r="B76" s="52" t="s">
        <v>1647</v>
      </c>
      <c r="C76" s="52" t="s">
        <v>483</v>
      </c>
      <c r="D76" s="52" t="s">
        <v>1639</v>
      </c>
      <c r="E76" s="52" t="s">
        <v>1640</v>
      </c>
      <c r="F76" s="52" t="s">
        <v>1478</v>
      </c>
      <c r="G76" s="52" t="s">
        <v>1471</v>
      </c>
      <c r="H76" s="52" t="s">
        <v>583</v>
      </c>
      <c r="I76" s="52" t="s">
        <v>1479</v>
      </c>
      <c r="J76" s="52">
        <v>18.0</v>
      </c>
      <c r="K76" s="52" t="s">
        <v>1473</v>
      </c>
      <c r="L76" s="52">
        <v>39.0</v>
      </c>
      <c r="M76" s="52">
        <v>39.0</v>
      </c>
      <c r="N76" s="52" t="s">
        <v>482</v>
      </c>
      <c r="O76" s="52" t="s">
        <v>1642</v>
      </c>
      <c r="P76" s="52" t="s">
        <v>587</v>
      </c>
      <c r="Q76" s="52" t="s">
        <v>1642</v>
      </c>
      <c r="S76" s="52">
        <v>9.775E7</v>
      </c>
      <c r="T76" s="52">
        <v>9825.0</v>
      </c>
      <c r="U76" s="52">
        <v>8925.0</v>
      </c>
      <c r="V76" s="52" t="s">
        <v>1648</v>
      </c>
      <c r="W76" s="69">
        <v>45677.0</v>
      </c>
      <c r="X76" s="70">
        <v>46022.0</v>
      </c>
      <c r="Z76" s="70">
        <v>46022.0</v>
      </c>
      <c r="AA76" s="52" t="s">
        <v>42</v>
      </c>
    </row>
    <row r="77">
      <c r="A77" s="52">
        <v>75.0</v>
      </c>
      <c r="B77" s="52" t="s">
        <v>645</v>
      </c>
      <c r="C77" s="52" t="s">
        <v>647</v>
      </c>
      <c r="D77" s="52" t="s">
        <v>1477</v>
      </c>
      <c r="E77" s="52" t="s">
        <v>1477</v>
      </c>
      <c r="F77" s="52" t="s">
        <v>1470</v>
      </c>
      <c r="G77" s="52" t="s">
        <v>1555</v>
      </c>
      <c r="H77" s="52" t="s">
        <v>1030</v>
      </c>
      <c r="I77" s="52" t="s">
        <v>1556</v>
      </c>
      <c r="J77" s="52" t="s">
        <v>1556</v>
      </c>
      <c r="K77" s="52" t="s">
        <v>1556</v>
      </c>
      <c r="L77" s="52" t="s">
        <v>1556</v>
      </c>
      <c r="M77" s="52" t="s">
        <v>1556</v>
      </c>
      <c r="N77" s="52" t="s">
        <v>1649</v>
      </c>
      <c r="O77" s="52" t="s">
        <v>1650</v>
      </c>
      <c r="P77" s="52" t="s">
        <v>587</v>
      </c>
      <c r="Q77" s="52" t="s">
        <v>1650</v>
      </c>
      <c r="S77" s="52">
        <v>1.15349983E8</v>
      </c>
      <c r="T77" s="52">
        <v>9025.0</v>
      </c>
      <c r="U77" s="52">
        <v>11325.0</v>
      </c>
      <c r="V77" s="52" t="s">
        <v>648</v>
      </c>
      <c r="W77" s="69">
        <v>45688.0</v>
      </c>
      <c r="X77" s="70">
        <v>46020.0</v>
      </c>
      <c r="Z77" s="70">
        <v>46020.0</v>
      </c>
      <c r="AA77" s="52" t="s">
        <v>42</v>
      </c>
    </row>
    <row r="78">
      <c r="A78" s="52">
        <v>76.0</v>
      </c>
      <c r="B78" s="52" t="s">
        <v>1651</v>
      </c>
      <c r="C78" s="52" t="s">
        <v>488</v>
      </c>
      <c r="D78" s="52" t="s">
        <v>1540</v>
      </c>
      <c r="E78" s="52" t="s">
        <v>1540</v>
      </c>
      <c r="F78" s="52" t="s">
        <v>1478</v>
      </c>
      <c r="G78" s="52" t="s">
        <v>1471</v>
      </c>
      <c r="H78" s="52" t="s">
        <v>583</v>
      </c>
      <c r="I78" s="52" t="s">
        <v>1526</v>
      </c>
      <c r="J78" s="52">
        <v>18.0</v>
      </c>
      <c r="K78" s="52" t="s">
        <v>1473</v>
      </c>
      <c r="L78" s="52">
        <v>95.0</v>
      </c>
      <c r="M78" s="52">
        <v>34.0</v>
      </c>
      <c r="N78" s="52" t="s">
        <v>487</v>
      </c>
      <c r="O78" s="52" t="s">
        <v>1652</v>
      </c>
      <c r="P78" s="52" t="s">
        <v>1653</v>
      </c>
      <c r="Q78" s="52" t="s">
        <v>1542</v>
      </c>
      <c r="R78" s="71">
        <v>-1428167.0</v>
      </c>
      <c r="S78" s="52">
        <v>9.7115333E7</v>
      </c>
      <c r="T78" s="52">
        <v>6725.0</v>
      </c>
      <c r="U78" s="52">
        <v>9525.0</v>
      </c>
      <c r="V78" s="52" t="s">
        <v>228</v>
      </c>
      <c r="W78" s="69">
        <v>45678.0</v>
      </c>
      <c r="X78" s="70">
        <v>46022.0</v>
      </c>
      <c r="Z78" s="70">
        <v>46022.0</v>
      </c>
      <c r="AA78" s="52" t="s">
        <v>42</v>
      </c>
    </row>
    <row r="79">
      <c r="A79" s="52">
        <v>77.0</v>
      </c>
      <c r="B79" s="52" t="s">
        <v>492</v>
      </c>
      <c r="C79" s="52" t="s">
        <v>494</v>
      </c>
      <c r="D79" s="52" t="s">
        <v>1477</v>
      </c>
      <c r="E79" s="52" t="s">
        <v>1477</v>
      </c>
      <c r="F79" s="52" t="s">
        <v>1470</v>
      </c>
      <c r="G79" s="52" t="s">
        <v>1555</v>
      </c>
      <c r="H79" s="52" t="s">
        <v>1030</v>
      </c>
      <c r="I79" s="52" t="s">
        <v>1556</v>
      </c>
      <c r="J79" s="52" t="s">
        <v>1556</v>
      </c>
      <c r="K79" s="52" t="s">
        <v>1556</v>
      </c>
      <c r="L79" s="52" t="s">
        <v>1556</v>
      </c>
      <c r="M79" s="52" t="s">
        <v>1556</v>
      </c>
      <c r="N79" s="52" t="s">
        <v>1654</v>
      </c>
      <c r="O79" s="52">
        <v>1.7292512E7</v>
      </c>
      <c r="P79" s="52" t="s">
        <v>587</v>
      </c>
      <c r="Q79" s="52">
        <v>1.7292512E7</v>
      </c>
      <c r="S79" s="52">
        <v>1.7292512E7</v>
      </c>
      <c r="U79" s="52">
        <v>9025.0</v>
      </c>
      <c r="V79" s="52" t="s">
        <v>495</v>
      </c>
      <c r="W79" s="69">
        <v>45684.0</v>
      </c>
      <c r="X79" s="70">
        <v>45987.0</v>
      </c>
      <c r="Z79" s="70">
        <v>45987.0</v>
      </c>
      <c r="AA79" s="52" t="s">
        <v>42</v>
      </c>
    </row>
    <row r="80">
      <c r="A80" s="52">
        <v>78.0</v>
      </c>
      <c r="B80" s="52" t="s">
        <v>1655</v>
      </c>
      <c r="C80" s="52" t="s">
        <v>1656</v>
      </c>
      <c r="D80" s="52" t="s">
        <v>176</v>
      </c>
      <c r="E80" s="52" t="s">
        <v>1482</v>
      </c>
      <c r="F80" s="52" t="s">
        <v>1478</v>
      </c>
      <c r="G80" s="52" t="s">
        <v>1471</v>
      </c>
      <c r="H80" s="52" t="s">
        <v>781</v>
      </c>
      <c r="I80" s="52" t="s">
        <v>1657</v>
      </c>
      <c r="J80" s="52">
        <v>13.0</v>
      </c>
      <c r="K80" s="52" t="s">
        <v>1483</v>
      </c>
      <c r="L80" s="52">
        <v>157.0</v>
      </c>
      <c r="M80" s="52">
        <v>50.0</v>
      </c>
      <c r="N80" s="52" t="s">
        <v>498</v>
      </c>
      <c r="O80" s="52" t="s">
        <v>1658</v>
      </c>
      <c r="P80" s="52" t="s">
        <v>587</v>
      </c>
      <c r="Q80" s="52" t="s">
        <v>1658</v>
      </c>
      <c r="R80" s="52" t="s">
        <v>1659</v>
      </c>
      <c r="S80" s="52">
        <v>3.7393767E7</v>
      </c>
      <c r="T80" s="52">
        <v>11325.0</v>
      </c>
      <c r="U80" s="52">
        <v>9225.0</v>
      </c>
      <c r="V80" s="52" t="s">
        <v>53</v>
      </c>
      <c r="W80" s="69">
        <v>45678.0</v>
      </c>
      <c r="X80" s="70">
        <v>46011.0</v>
      </c>
      <c r="Y80" s="52">
        <v>10.0</v>
      </c>
      <c r="Z80" s="70">
        <v>46021.0</v>
      </c>
      <c r="AA80" s="52" t="s">
        <v>42</v>
      </c>
    </row>
    <row r="81">
      <c r="A81" s="52">
        <v>79.0</v>
      </c>
      <c r="B81" s="52" t="s">
        <v>502</v>
      </c>
      <c r="C81" s="52" t="s">
        <v>1660</v>
      </c>
      <c r="D81" s="52" t="s">
        <v>1487</v>
      </c>
      <c r="E81" s="52" t="s">
        <v>1487</v>
      </c>
      <c r="F81" s="52" t="s">
        <v>1478</v>
      </c>
      <c r="G81" s="52" t="s">
        <v>1471</v>
      </c>
      <c r="H81" s="52" t="s">
        <v>583</v>
      </c>
      <c r="I81" s="52" t="s">
        <v>1625</v>
      </c>
      <c r="J81" s="52">
        <v>14.0</v>
      </c>
      <c r="K81" s="52" t="s">
        <v>1473</v>
      </c>
      <c r="L81" s="52">
        <v>62.0</v>
      </c>
      <c r="M81" s="52">
        <v>16.0</v>
      </c>
      <c r="N81" s="52" t="s">
        <v>503</v>
      </c>
      <c r="O81" s="52" t="s">
        <v>1661</v>
      </c>
      <c r="P81" s="52" t="s">
        <v>587</v>
      </c>
      <c r="Q81" s="52" t="s">
        <v>1661</v>
      </c>
      <c r="S81" s="52">
        <v>6.93E7</v>
      </c>
      <c r="T81" s="52">
        <v>5925.0</v>
      </c>
      <c r="U81" s="52">
        <v>10025.0</v>
      </c>
      <c r="V81" s="52" t="s">
        <v>62</v>
      </c>
      <c r="W81" s="69">
        <v>45680.0</v>
      </c>
      <c r="X81" s="70">
        <v>46013.0</v>
      </c>
      <c r="Z81" s="70">
        <v>46013.0</v>
      </c>
      <c r="AA81" s="52" t="s">
        <v>42</v>
      </c>
    </row>
    <row r="82">
      <c r="A82" s="52">
        <v>80.0</v>
      </c>
      <c r="B82" s="52" t="s">
        <v>506</v>
      </c>
      <c r="C82" s="52" t="s">
        <v>1662</v>
      </c>
      <c r="D82" s="52" t="s">
        <v>1487</v>
      </c>
      <c r="E82" s="52" t="s">
        <v>1487</v>
      </c>
      <c r="F82" s="52" t="s">
        <v>1478</v>
      </c>
      <c r="G82" s="52" t="s">
        <v>1471</v>
      </c>
      <c r="H82" s="52" t="s">
        <v>583</v>
      </c>
      <c r="I82" s="52" t="s">
        <v>1663</v>
      </c>
      <c r="J82" s="52">
        <v>16.0</v>
      </c>
      <c r="K82" s="52" t="s">
        <v>1473</v>
      </c>
      <c r="L82" s="52">
        <v>144.0</v>
      </c>
      <c r="M82" s="52">
        <v>35.0</v>
      </c>
      <c r="N82" s="52" t="s">
        <v>507</v>
      </c>
      <c r="O82" s="52" t="s">
        <v>1664</v>
      </c>
      <c r="P82" s="52" t="s">
        <v>587</v>
      </c>
      <c r="Q82" s="52" t="s">
        <v>1664</v>
      </c>
      <c r="S82" s="52">
        <v>7.5E7</v>
      </c>
      <c r="T82" s="52">
        <v>5725.0</v>
      </c>
      <c r="U82" s="52">
        <v>9625.0</v>
      </c>
      <c r="V82" s="52" t="s">
        <v>197</v>
      </c>
      <c r="W82" s="69">
        <v>45678.0</v>
      </c>
      <c r="X82" s="70">
        <v>45981.0</v>
      </c>
      <c r="Z82" s="70">
        <v>45981.0</v>
      </c>
      <c r="AA82" s="52" t="s">
        <v>42</v>
      </c>
    </row>
    <row r="83">
      <c r="A83" s="52">
        <v>81.0</v>
      </c>
      <c r="B83" s="52" t="s">
        <v>511</v>
      </c>
      <c r="C83" s="52" t="s">
        <v>513</v>
      </c>
      <c r="D83" s="52" t="s">
        <v>1540</v>
      </c>
      <c r="E83" s="52" t="s">
        <v>1540</v>
      </c>
      <c r="F83" s="52" t="s">
        <v>1478</v>
      </c>
      <c r="G83" s="52" t="s">
        <v>1471</v>
      </c>
      <c r="H83" s="52" t="s">
        <v>583</v>
      </c>
      <c r="I83" s="52" t="s">
        <v>1526</v>
      </c>
      <c r="J83" s="52">
        <v>14.0</v>
      </c>
      <c r="K83" s="52" t="s">
        <v>1473</v>
      </c>
      <c r="L83" s="52">
        <v>58.0</v>
      </c>
      <c r="M83" s="52">
        <v>13.0</v>
      </c>
      <c r="N83" s="52" t="s">
        <v>512</v>
      </c>
      <c r="O83" s="52" t="s">
        <v>1665</v>
      </c>
      <c r="P83" s="52" t="s">
        <v>587</v>
      </c>
      <c r="Q83" s="52" t="s">
        <v>1665</v>
      </c>
      <c r="R83" s="52" t="s">
        <v>1666</v>
      </c>
      <c r="S83" s="52">
        <v>3.3845333E7</v>
      </c>
      <c r="T83" s="52">
        <v>10625.0</v>
      </c>
      <c r="U83" s="52">
        <v>9725.0</v>
      </c>
      <c r="V83" s="52" t="s">
        <v>228</v>
      </c>
      <c r="W83" s="69">
        <v>45678.0</v>
      </c>
      <c r="X83" s="70">
        <v>45782.0</v>
      </c>
      <c r="Y83" s="52">
        <v>60.0</v>
      </c>
      <c r="Z83" s="70">
        <v>45838.0</v>
      </c>
      <c r="AA83" s="52" t="s">
        <v>42</v>
      </c>
    </row>
    <row r="84">
      <c r="A84" s="52">
        <v>82.0</v>
      </c>
      <c r="B84" s="52" t="s">
        <v>516</v>
      </c>
      <c r="C84" s="52" t="s">
        <v>1667</v>
      </c>
      <c r="D84" s="52" t="s">
        <v>1477</v>
      </c>
      <c r="E84" s="52" t="s">
        <v>1477</v>
      </c>
      <c r="F84" s="52" t="s">
        <v>1470</v>
      </c>
      <c r="G84" s="52" t="s">
        <v>1471</v>
      </c>
      <c r="H84" s="52" t="s">
        <v>583</v>
      </c>
      <c r="I84" s="52" t="s">
        <v>1528</v>
      </c>
      <c r="J84" s="52">
        <v>17.0</v>
      </c>
      <c r="K84" s="52" t="s">
        <v>1473</v>
      </c>
      <c r="L84" s="52">
        <v>43.0</v>
      </c>
      <c r="M84" s="52">
        <v>43.0</v>
      </c>
      <c r="N84" s="52" t="s">
        <v>517</v>
      </c>
      <c r="O84" s="52" t="s">
        <v>1668</v>
      </c>
      <c r="P84" s="52" t="s">
        <v>587</v>
      </c>
      <c r="Q84" s="52" t="s">
        <v>1668</v>
      </c>
      <c r="S84" s="52">
        <v>6.414272E7</v>
      </c>
      <c r="T84" s="52">
        <v>7925.0</v>
      </c>
      <c r="U84" s="52">
        <v>10425.0</v>
      </c>
      <c r="V84" s="52" t="s">
        <v>145</v>
      </c>
      <c r="W84" s="69">
        <v>45680.0</v>
      </c>
      <c r="X84" s="70">
        <v>45922.0</v>
      </c>
      <c r="Z84" s="70">
        <v>45922.0</v>
      </c>
      <c r="AA84" s="52" t="s">
        <v>42</v>
      </c>
    </row>
    <row r="85">
      <c r="A85" s="52">
        <v>83.0</v>
      </c>
      <c r="B85" s="52" t="s">
        <v>521</v>
      </c>
      <c r="C85" s="52" t="s">
        <v>1669</v>
      </c>
      <c r="D85" s="52" t="s">
        <v>1477</v>
      </c>
      <c r="E85" s="52" t="s">
        <v>1477</v>
      </c>
      <c r="F85" s="52" t="s">
        <v>1470</v>
      </c>
      <c r="G85" s="52" t="s">
        <v>1471</v>
      </c>
      <c r="H85" s="52" t="s">
        <v>583</v>
      </c>
      <c r="I85" s="52" t="s">
        <v>1528</v>
      </c>
      <c r="J85" s="52">
        <v>19.0</v>
      </c>
      <c r="K85" s="52" t="s">
        <v>1473</v>
      </c>
      <c r="L85" s="52">
        <v>45.0</v>
      </c>
      <c r="M85" s="52">
        <v>45.0</v>
      </c>
      <c r="N85" s="52" t="s">
        <v>1670</v>
      </c>
      <c r="O85" s="52" t="s">
        <v>1606</v>
      </c>
      <c r="P85" s="52" t="s">
        <v>587</v>
      </c>
      <c r="Q85" s="52" t="s">
        <v>1606</v>
      </c>
      <c r="S85" s="52">
        <v>8.1E7</v>
      </c>
      <c r="T85" s="52">
        <v>8025.0</v>
      </c>
      <c r="U85" s="52">
        <v>11625.0</v>
      </c>
      <c r="V85" s="52" t="s">
        <v>145</v>
      </c>
      <c r="W85" s="69">
        <v>45682.0</v>
      </c>
      <c r="X85" s="70">
        <v>45956.0</v>
      </c>
      <c r="Z85" s="70">
        <v>45956.0</v>
      </c>
      <c r="AA85" s="52" t="s">
        <v>42</v>
      </c>
    </row>
    <row r="86">
      <c r="A86" s="52">
        <v>84.0</v>
      </c>
      <c r="B86" s="52" t="s">
        <v>526</v>
      </c>
      <c r="C86" s="52" t="s">
        <v>1671</v>
      </c>
      <c r="D86" s="52" t="s">
        <v>1477</v>
      </c>
      <c r="E86" s="52" t="s">
        <v>1477</v>
      </c>
      <c r="F86" s="52" t="s">
        <v>1470</v>
      </c>
      <c r="G86" s="52" t="s">
        <v>1471</v>
      </c>
      <c r="H86" s="52" t="s">
        <v>583</v>
      </c>
      <c r="I86" s="52" t="s">
        <v>1544</v>
      </c>
      <c r="J86" s="52">
        <v>16.0</v>
      </c>
      <c r="K86" s="52" t="s">
        <v>1473</v>
      </c>
      <c r="L86" s="52">
        <v>32.0</v>
      </c>
      <c r="M86" s="52">
        <v>32.0</v>
      </c>
      <c r="N86" s="52" t="s">
        <v>527</v>
      </c>
      <c r="O86" s="52" t="s">
        <v>1672</v>
      </c>
      <c r="P86" s="52" t="s">
        <v>587</v>
      </c>
      <c r="Q86" s="52" t="s">
        <v>1672</v>
      </c>
      <c r="S86" s="52">
        <v>7.3668E7</v>
      </c>
      <c r="T86" s="52">
        <v>14725.0</v>
      </c>
      <c r="U86" s="52">
        <v>10525.0</v>
      </c>
      <c r="V86" s="52" t="s">
        <v>145</v>
      </c>
      <c r="W86" s="69">
        <v>45680.0</v>
      </c>
      <c r="X86" s="70">
        <v>45983.0</v>
      </c>
      <c r="Z86" s="70">
        <v>45983.0</v>
      </c>
      <c r="AA86" s="52" t="s">
        <v>42</v>
      </c>
    </row>
    <row r="87">
      <c r="A87" s="52">
        <v>85.0</v>
      </c>
      <c r="B87" s="52" t="s">
        <v>531</v>
      </c>
      <c r="C87" s="52" t="s">
        <v>1673</v>
      </c>
      <c r="D87" s="52" t="s">
        <v>1497</v>
      </c>
      <c r="E87" s="52" t="s">
        <v>1497</v>
      </c>
      <c r="F87" s="52" t="s">
        <v>1478</v>
      </c>
      <c r="G87" s="52" t="s">
        <v>1471</v>
      </c>
      <c r="H87" s="52" t="s">
        <v>583</v>
      </c>
      <c r="I87" s="52" t="s">
        <v>1674</v>
      </c>
      <c r="J87" s="52">
        <v>16.0</v>
      </c>
      <c r="K87" s="52" t="s">
        <v>1473</v>
      </c>
      <c r="L87" s="52">
        <v>121.0</v>
      </c>
      <c r="M87" s="52">
        <v>114.0</v>
      </c>
      <c r="N87" s="52" t="s">
        <v>532</v>
      </c>
      <c r="O87" s="52" t="s">
        <v>1675</v>
      </c>
      <c r="P87" s="52" t="s">
        <v>587</v>
      </c>
      <c r="Q87" s="52" t="s">
        <v>1675</v>
      </c>
      <c r="S87" s="52">
        <v>8.14E7</v>
      </c>
      <c r="T87" s="52">
        <v>11625.0</v>
      </c>
      <c r="U87" s="52">
        <v>11125.0</v>
      </c>
      <c r="V87" s="52" t="s">
        <v>77</v>
      </c>
      <c r="W87" s="69">
        <v>45681.0</v>
      </c>
      <c r="X87" s="70">
        <v>46014.0</v>
      </c>
      <c r="Z87" s="70">
        <v>46014.0</v>
      </c>
      <c r="AA87" s="52" t="s">
        <v>42</v>
      </c>
    </row>
    <row r="88">
      <c r="A88" s="52">
        <v>86.0</v>
      </c>
      <c r="B88" s="52" t="s">
        <v>534</v>
      </c>
      <c r="C88" s="52" t="s">
        <v>1676</v>
      </c>
      <c r="D88" s="52" t="s">
        <v>1497</v>
      </c>
      <c r="E88" s="52" t="s">
        <v>1497</v>
      </c>
      <c r="F88" s="52" t="s">
        <v>1478</v>
      </c>
      <c r="G88" s="52" t="s">
        <v>1471</v>
      </c>
      <c r="H88" s="52" t="s">
        <v>583</v>
      </c>
      <c r="I88" s="52" t="s">
        <v>1526</v>
      </c>
      <c r="J88" s="52">
        <v>9.0</v>
      </c>
      <c r="K88" s="52" t="s">
        <v>1483</v>
      </c>
      <c r="L88" s="52">
        <v>45.0</v>
      </c>
      <c r="M88" s="52">
        <v>38.0</v>
      </c>
      <c r="N88" s="52" t="s">
        <v>535</v>
      </c>
      <c r="O88" s="52" t="s">
        <v>1677</v>
      </c>
      <c r="P88" s="52" t="s">
        <v>587</v>
      </c>
      <c r="Q88" s="52" t="s">
        <v>1677</v>
      </c>
      <c r="S88" s="52">
        <v>5.5E7</v>
      </c>
      <c r="T88" s="52">
        <v>11825.0</v>
      </c>
      <c r="U88" s="52">
        <v>11025.0</v>
      </c>
      <c r="V88" s="52" t="s">
        <v>77</v>
      </c>
      <c r="W88" s="69">
        <v>45680.0</v>
      </c>
      <c r="X88" s="70">
        <v>46014.0</v>
      </c>
      <c r="Z88" s="70">
        <v>46014.0</v>
      </c>
      <c r="AA88" s="52" t="s">
        <v>42</v>
      </c>
    </row>
    <row r="89">
      <c r="A89" s="52">
        <v>87.0</v>
      </c>
      <c r="B89" s="52" t="s">
        <v>1678</v>
      </c>
      <c r="C89" s="52" t="s">
        <v>541</v>
      </c>
      <c r="D89" s="52" t="s">
        <v>1540</v>
      </c>
      <c r="E89" s="52" t="s">
        <v>1540</v>
      </c>
      <c r="F89" s="52" t="s">
        <v>1478</v>
      </c>
      <c r="G89" s="52" t="s">
        <v>1471</v>
      </c>
      <c r="H89" s="52" t="s">
        <v>583</v>
      </c>
      <c r="I89" s="52" t="s">
        <v>1526</v>
      </c>
      <c r="J89" s="52">
        <v>5.0</v>
      </c>
      <c r="K89" s="52" t="s">
        <v>1483</v>
      </c>
      <c r="L89" s="52">
        <v>25.0</v>
      </c>
      <c r="M89" s="52">
        <v>13.0</v>
      </c>
      <c r="N89" s="52" t="s">
        <v>540</v>
      </c>
      <c r="O89" s="52" t="s">
        <v>1679</v>
      </c>
      <c r="P89" s="52" t="s">
        <v>587</v>
      </c>
      <c r="Q89" s="52" t="s">
        <v>1679</v>
      </c>
      <c r="R89" s="52" t="s">
        <v>1680</v>
      </c>
      <c r="S89" s="52">
        <v>2.12036E7</v>
      </c>
      <c r="T89" s="52">
        <v>13325.0</v>
      </c>
      <c r="U89" s="52">
        <v>10325.0</v>
      </c>
      <c r="V89" s="52" t="s">
        <v>228</v>
      </c>
      <c r="W89" s="69">
        <v>45680.0</v>
      </c>
      <c r="X89" s="70">
        <v>45784.0</v>
      </c>
      <c r="Y89" s="52">
        <v>60.0</v>
      </c>
      <c r="Z89" s="70">
        <v>45838.0</v>
      </c>
      <c r="AA89" s="52" t="s">
        <v>42</v>
      </c>
    </row>
    <row r="90">
      <c r="A90" s="52">
        <v>88.0</v>
      </c>
      <c r="B90" s="52" t="s">
        <v>543</v>
      </c>
      <c r="C90" s="52" t="s">
        <v>545</v>
      </c>
      <c r="D90" s="52" t="s">
        <v>1469</v>
      </c>
      <c r="E90" s="52" t="s">
        <v>1469</v>
      </c>
      <c r="F90" s="52" t="s">
        <v>1470</v>
      </c>
      <c r="G90" s="52" t="s">
        <v>1471</v>
      </c>
      <c r="H90" s="52" t="s">
        <v>583</v>
      </c>
      <c r="I90" s="52" t="s">
        <v>1479</v>
      </c>
      <c r="J90" s="52">
        <v>13.0</v>
      </c>
      <c r="K90" s="52" t="s">
        <v>1473</v>
      </c>
      <c r="L90" s="52">
        <v>42.0</v>
      </c>
      <c r="M90" s="52">
        <v>42.0</v>
      </c>
      <c r="N90" s="52" t="s">
        <v>544</v>
      </c>
      <c r="O90" s="52" t="s">
        <v>1681</v>
      </c>
      <c r="P90" s="52" t="s">
        <v>587</v>
      </c>
      <c r="Q90" s="52" t="s">
        <v>1681</v>
      </c>
      <c r="S90" s="52">
        <v>7.2765E7</v>
      </c>
      <c r="T90" s="52">
        <v>14825.0</v>
      </c>
      <c r="U90" s="52">
        <v>10125.0</v>
      </c>
      <c r="V90" s="52" t="s">
        <v>38</v>
      </c>
      <c r="W90" s="69">
        <v>45681.0</v>
      </c>
      <c r="X90" s="70">
        <v>46014.0</v>
      </c>
      <c r="Z90" s="70">
        <v>46014.0</v>
      </c>
      <c r="AA90" s="52" t="s">
        <v>42</v>
      </c>
    </row>
    <row r="91">
      <c r="A91" s="52">
        <v>89.0</v>
      </c>
      <c r="B91" s="52" t="s">
        <v>548</v>
      </c>
      <c r="C91" s="52" t="s">
        <v>1682</v>
      </c>
      <c r="D91" s="52" t="s">
        <v>1489</v>
      </c>
      <c r="E91" s="52" t="s">
        <v>1489</v>
      </c>
      <c r="F91" s="52" t="s">
        <v>1478</v>
      </c>
      <c r="G91" s="52" t="s">
        <v>1471</v>
      </c>
      <c r="H91" s="52" t="s">
        <v>781</v>
      </c>
      <c r="I91" s="52" t="s">
        <v>1625</v>
      </c>
      <c r="J91" s="52">
        <v>16.0</v>
      </c>
      <c r="K91" s="52" t="s">
        <v>1483</v>
      </c>
      <c r="L91" s="52">
        <v>103.0</v>
      </c>
      <c r="M91" s="52">
        <v>103.0</v>
      </c>
      <c r="N91" s="52" t="s">
        <v>549</v>
      </c>
      <c r="O91" s="52" t="s">
        <v>1486</v>
      </c>
      <c r="P91" s="52" t="s">
        <v>587</v>
      </c>
      <c r="Q91" s="52" t="s">
        <v>1486</v>
      </c>
      <c r="S91" s="52">
        <v>4.2E7</v>
      </c>
      <c r="T91" s="52">
        <v>14625.0</v>
      </c>
      <c r="U91" s="52">
        <v>10225.0</v>
      </c>
      <c r="V91" s="52" t="s">
        <v>367</v>
      </c>
      <c r="W91" s="69">
        <v>45680.0</v>
      </c>
      <c r="X91" s="70">
        <v>46013.0</v>
      </c>
      <c r="Z91" s="70">
        <v>46013.0</v>
      </c>
      <c r="AA91" s="52" t="s">
        <v>42</v>
      </c>
    </row>
    <row r="92">
      <c r="A92" s="52">
        <v>90.0</v>
      </c>
      <c r="B92" s="52" t="s">
        <v>554</v>
      </c>
      <c r="C92" s="52" t="s">
        <v>556</v>
      </c>
      <c r="D92" s="52" t="s">
        <v>1469</v>
      </c>
      <c r="E92" s="52" t="s">
        <v>1469</v>
      </c>
      <c r="F92" s="52" t="s">
        <v>1470</v>
      </c>
      <c r="G92" s="52" t="s">
        <v>1471</v>
      </c>
      <c r="H92" s="52" t="s">
        <v>583</v>
      </c>
      <c r="I92" s="52" t="s">
        <v>1683</v>
      </c>
      <c r="J92" s="52">
        <v>15.0</v>
      </c>
      <c r="K92" s="52" t="s">
        <v>1473</v>
      </c>
      <c r="L92" s="52">
        <v>69.0</v>
      </c>
      <c r="M92" s="52">
        <v>47.0</v>
      </c>
      <c r="N92" s="52" t="s">
        <v>555</v>
      </c>
      <c r="O92" s="52" t="s">
        <v>1684</v>
      </c>
      <c r="P92" s="52" t="s">
        <v>587</v>
      </c>
      <c r="Q92" s="52" t="s">
        <v>1684</v>
      </c>
      <c r="S92" s="52">
        <v>7.32963E7</v>
      </c>
      <c r="T92" s="52">
        <v>15425.0</v>
      </c>
      <c r="U92" s="52">
        <v>10725.0</v>
      </c>
      <c r="V92" s="52" t="s">
        <v>91</v>
      </c>
      <c r="W92" s="69">
        <v>45681.0</v>
      </c>
      <c r="X92" s="70">
        <v>46014.0</v>
      </c>
      <c r="Z92" s="70">
        <v>46014.0</v>
      </c>
      <c r="AA92" s="52" t="s">
        <v>42</v>
      </c>
    </row>
    <row r="93">
      <c r="A93" s="52">
        <v>91.0</v>
      </c>
      <c r="B93" s="52" t="s">
        <v>1685</v>
      </c>
      <c r="C93" s="52" t="s">
        <v>1686</v>
      </c>
      <c r="D93" s="52" t="s">
        <v>1469</v>
      </c>
      <c r="E93" s="52" t="s">
        <v>1469</v>
      </c>
      <c r="F93" s="52" t="s">
        <v>1470</v>
      </c>
      <c r="G93" s="52" t="s">
        <v>1471</v>
      </c>
      <c r="H93" s="52" t="s">
        <v>583</v>
      </c>
      <c r="I93" s="52" t="s">
        <v>1687</v>
      </c>
      <c r="J93" s="52">
        <v>7.0</v>
      </c>
      <c r="K93" s="52" t="s">
        <v>1473</v>
      </c>
      <c r="L93" s="52">
        <v>27.0</v>
      </c>
      <c r="M93" s="52">
        <v>15.0</v>
      </c>
      <c r="N93" s="52" t="s">
        <v>559</v>
      </c>
      <c r="O93" s="52" t="s">
        <v>1527</v>
      </c>
      <c r="P93" s="52" t="s">
        <v>587</v>
      </c>
      <c r="Q93" s="52" t="s">
        <v>1527</v>
      </c>
      <c r="S93" s="52">
        <v>4.81173E7</v>
      </c>
      <c r="T93" s="52">
        <v>15025.0</v>
      </c>
      <c r="U93" s="52">
        <v>10825.0</v>
      </c>
      <c r="V93" s="52" t="s">
        <v>91</v>
      </c>
      <c r="W93" s="69">
        <v>45681.0</v>
      </c>
      <c r="X93" s="70">
        <v>46014.0</v>
      </c>
      <c r="Z93" s="70">
        <v>46014.0</v>
      </c>
      <c r="AA93" s="52" t="s">
        <v>42</v>
      </c>
    </row>
    <row r="94">
      <c r="A94" s="52">
        <v>92.0</v>
      </c>
      <c r="B94" s="52" t="s">
        <v>563</v>
      </c>
      <c r="C94" s="52" t="s">
        <v>1688</v>
      </c>
      <c r="D94" s="52" t="s">
        <v>1469</v>
      </c>
      <c r="E94" s="52" t="s">
        <v>1469</v>
      </c>
      <c r="F94" s="52" t="s">
        <v>1470</v>
      </c>
      <c r="G94" s="52" t="s">
        <v>1471</v>
      </c>
      <c r="H94" s="52" t="s">
        <v>583</v>
      </c>
      <c r="I94" s="52" t="s">
        <v>1689</v>
      </c>
      <c r="J94" s="52">
        <v>16.0</v>
      </c>
      <c r="K94" s="52" t="s">
        <v>1473</v>
      </c>
      <c r="L94" s="52">
        <v>40.0</v>
      </c>
      <c r="M94" s="52">
        <v>40.0</v>
      </c>
      <c r="N94" s="52" t="s">
        <v>287</v>
      </c>
      <c r="O94" s="52" t="s">
        <v>1564</v>
      </c>
      <c r="P94" s="52" t="s">
        <v>587</v>
      </c>
      <c r="Q94" s="52" t="s">
        <v>1564</v>
      </c>
      <c r="S94" s="52">
        <v>8.10348E7</v>
      </c>
      <c r="T94" s="52">
        <v>15125.0</v>
      </c>
      <c r="U94" s="52">
        <v>10625.0</v>
      </c>
      <c r="V94" s="52" t="s">
        <v>91</v>
      </c>
      <c r="W94" s="69">
        <v>45681.0</v>
      </c>
      <c r="X94" s="70">
        <v>46013.0</v>
      </c>
      <c r="Z94" s="70">
        <v>46013.0</v>
      </c>
      <c r="AA94" s="52" t="s">
        <v>42</v>
      </c>
    </row>
    <row r="95">
      <c r="A95" s="52">
        <v>93.0</v>
      </c>
      <c r="B95" s="52" t="s">
        <v>565</v>
      </c>
      <c r="C95" s="52" t="s">
        <v>1690</v>
      </c>
      <c r="D95" s="52" t="s">
        <v>1469</v>
      </c>
      <c r="E95" s="52" t="s">
        <v>1469</v>
      </c>
      <c r="F95" s="52" t="s">
        <v>1470</v>
      </c>
      <c r="G95" s="52" t="s">
        <v>1471</v>
      </c>
      <c r="H95" s="52" t="s">
        <v>583</v>
      </c>
      <c r="I95" s="52" t="s">
        <v>1526</v>
      </c>
      <c r="J95" s="52">
        <v>15.0</v>
      </c>
      <c r="K95" s="52" t="s">
        <v>1473</v>
      </c>
      <c r="L95" s="52">
        <v>33.0</v>
      </c>
      <c r="M95" s="52">
        <v>33.0</v>
      </c>
      <c r="N95" s="52" t="s">
        <v>555</v>
      </c>
      <c r="O95" s="52" t="s">
        <v>1684</v>
      </c>
      <c r="P95" s="52" t="s">
        <v>587</v>
      </c>
      <c r="Q95" s="52" t="s">
        <v>1684</v>
      </c>
      <c r="S95" s="52">
        <v>7.32963E7</v>
      </c>
      <c r="T95" s="52">
        <v>14925.0</v>
      </c>
      <c r="U95" s="52">
        <v>10925.0</v>
      </c>
      <c r="V95" s="52" t="s">
        <v>91</v>
      </c>
      <c r="W95" s="69">
        <v>45681.0</v>
      </c>
      <c r="X95" s="70">
        <v>46014.0</v>
      </c>
      <c r="Z95" s="70">
        <v>46014.0</v>
      </c>
      <c r="AA95" s="52" t="s">
        <v>42</v>
      </c>
    </row>
    <row r="96">
      <c r="A96" s="52">
        <v>94.0</v>
      </c>
      <c r="B96" s="52" t="s">
        <v>568</v>
      </c>
      <c r="C96" s="52" t="s">
        <v>570</v>
      </c>
      <c r="D96" s="52" t="s">
        <v>1489</v>
      </c>
      <c r="E96" s="52" t="s">
        <v>1489</v>
      </c>
      <c r="F96" s="52" t="s">
        <v>1478</v>
      </c>
      <c r="G96" s="52" t="s">
        <v>1471</v>
      </c>
      <c r="H96" s="52" t="s">
        <v>781</v>
      </c>
      <c r="I96" s="52" t="s">
        <v>1691</v>
      </c>
      <c r="J96" s="52">
        <v>16.0</v>
      </c>
      <c r="K96" s="52" t="s">
        <v>1483</v>
      </c>
      <c r="L96" s="52">
        <v>10.0</v>
      </c>
      <c r="M96" s="52">
        <v>0.0</v>
      </c>
      <c r="N96" s="52" t="s">
        <v>569</v>
      </c>
      <c r="O96" s="52" t="s">
        <v>1692</v>
      </c>
      <c r="P96" s="52" t="s">
        <v>587</v>
      </c>
      <c r="Q96" s="52" t="s">
        <v>1692</v>
      </c>
      <c r="R96" s="72">
        <v>-133334.0</v>
      </c>
      <c r="S96" s="52">
        <v>4.4933333E7</v>
      </c>
      <c r="T96" s="52">
        <v>11225.0</v>
      </c>
      <c r="U96" s="52">
        <v>11525.0</v>
      </c>
      <c r="V96" s="52" t="s">
        <v>67</v>
      </c>
      <c r="W96" s="69">
        <v>45681.0</v>
      </c>
      <c r="X96" s="70">
        <v>46022.0</v>
      </c>
      <c r="Z96" s="70">
        <v>46022.0</v>
      </c>
      <c r="AA96" s="52" t="s">
        <v>42</v>
      </c>
    </row>
    <row r="97">
      <c r="A97" s="52">
        <v>95.0</v>
      </c>
      <c r="B97" s="52" t="s">
        <v>573</v>
      </c>
      <c r="C97" s="52" t="s">
        <v>1693</v>
      </c>
      <c r="D97" s="52" t="s">
        <v>1520</v>
      </c>
      <c r="E97" s="52" t="s">
        <v>1520</v>
      </c>
      <c r="F97" s="52" t="s">
        <v>1478</v>
      </c>
      <c r="G97" s="52" t="s">
        <v>1471</v>
      </c>
      <c r="H97" s="52" t="s">
        <v>583</v>
      </c>
      <c r="I97" s="52" t="s">
        <v>1573</v>
      </c>
      <c r="J97" s="52">
        <v>21.0</v>
      </c>
      <c r="K97" s="52" t="s">
        <v>1473</v>
      </c>
      <c r="L97" s="52">
        <v>82.0</v>
      </c>
      <c r="M97" s="52">
        <v>72.0</v>
      </c>
      <c r="N97" s="52" t="s">
        <v>1694</v>
      </c>
      <c r="O97" s="52" t="s">
        <v>1695</v>
      </c>
      <c r="P97" s="52" t="s">
        <v>1601</v>
      </c>
      <c r="Q97" s="52" t="s">
        <v>1696</v>
      </c>
      <c r="R97" s="71">
        <v>-1389080.0</v>
      </c>
      <c r="S97" s="52">
        <v>1.1658818E8</v>
      </c>
      <c r="T97" s="52">
        <v>11525.0</v>
      </c>
      <c r="U97" s="52">
        <v>11825.0</v>
      </c>
      <c r="V97" s="52" t="s">
        <v>384</v>
      </c>
      <c r="W97" s="69">
        <v>45684.0</v>
      </c>
      <c r="X97" s="70">
        <v>46022.0</v>
      </c>
      <c r="Z97" s="70">
        <v>46022.0</v>
      </c>
      <c r="AA97" s="52" t="s">
        <v>42</v>
      </c>
    </row>
    <row r="98">
      <c r="A98" s="52">
        <v>96.0</v>
      </c>
      <c r="B98" s="52" t="s">
        <v>578</v>
      </c>
      <c r="C98" s="52" t="s">
        <v>1697</v>
      </c>
      <c r="D98" s="52" t="s">
        <v>1487</v>
      </c>
      <c r="E98" s="52" t="s">
        <v>1489</v>
      </c>
      <c r="F98" s="52" t="s">
        <v>1478</v>
      </c>
      <c r="G98" s="52" t="s">
        <v>1471</v>
      </c>
      <c r="H98" s="52" t="s">
        <v>583</v>
      </c>
      <c r="I98" s="52" t="s">
        <v>1538</v>
      </c>
      <c r="J98" s="52">
        <v>15.0</v>
      </c>
      <c r="K98" s="52" t="s">
        <v>1473</v>
      </c>
      <c r="L98" s="52">
        <v>33.0</v>
      </c>
      <c r="M98" s="52">
        <v>21.0</v>
      </c>
      <c r="N98" s="52" t="s">
        <v>1698</v>
      </c>
      <c r="O98" s="52" t="s">
        <v>1699</v>
      </c>
      <c r="P98" s="52" t="s">
        <v>587</v>
      </c>
      <c r="Q98" s="52" t="s">
        <v>1699</v>
      </c>
      <c r="R98" s="72">
        <v>-240000.0</v>
      </c>
      <c r="S98" s="52">
        <v>8.088E7</v>
      </c>
      <c r="T98" s="52">
        <v>14325.0</v>
      </c>
      <c r="U98" s="52">
        <v>11225.0</v>
      </c>
      <c r="V98" s="52" t="s">
        <v>374</v>
      </c>
      <c r="W98" s="69">
        <v>45681.0</v>
      </c>
      <c r="X98" s="70">
        <v>46022.0</v>
      </c>
      <c r="Z98" s="70">
        <v>46022.0</v>
      </c>
      <c r="AA98" s="52" t="s">
        <v>42</v>
      </c>
    </row>
    <row r="99">
      <c r="A99" s="52">
        <v>97.0</v>
      </c>
      <c r="B99" s="52" t="s">
        <v>584</v>
      </c>
      <c r="C99" s="52" t="s">
        <v>586</v>
      </c>
      <c r="D99" s="52" t="s">
        <v>1520</v>
      </c>
      <c r="E99" s="52" t="s">
        <v>1520</v>
      </c>
      <c r="F99" s="52" t="s">
        <v>1478</v>
      </c>
      <c r="G99" s="52" t="s">
        <v>1471</v>
      </c>
      <c r="H99" s="52" t="s">
        <v>583</v>
      </c>
      <c r="I99" s="52" t="s">
        <v>1573</v>
      </c>
      <c r="J99" s="52">
        <v>21.0</v>
      </c>
      <c r="K99" s="52" t="s">
        <v>1473</v>
      </c>
      <c r="L99" s="52">
        <v>47.0</v>
      </c>
      <c r="M99" s="52">
        <v>35.0</v>
      </c>
      <c r="N99" s="52" t="s">
        <v>585</v>
      </c>
      <c r="O99" s="52" t="s">
        <v>1695</v>
      </c>
      <c r="P99" s="52" t="s">
        <v>1601</v>
      </c>
      <c r="Q99" s="52" t="s">
        <v>1696</v>
      </c>
      <c r="R99" s="71">
        <v>-1389080.0</v>
      </c>
      <c r="S99" s="52">
        <v>1.1658818E8</v>
      </c>
      <c r="T99" s="52">
        <v>11425.0</v>
      </c>
      <c r="U99" s="52">
        <v>11925.0</v>
      </c>
      <c r="V99" s="52" t="s">
        <v>384</v>
      </c>
      <c r="W99" s="69">
        <v>45684.0</v>
      </c>
      <c r="X99" s="70">
        <v>46022.0</v>
      </c>
      <c r="Z99" s="70">
        <v>46022.0</v>
      </c>
      <c r="AA99" s="52" t="s">
        <v>42</v>
      </c>
    </row>
    <row r="100">
      <c r="A100" s="52">
        <v>98.0</v>
      </c>
      <c r="B100" s="52" t="s">
        <v>590</v>
      </c>
      <c r="C100" s="52" t="s">
        <v>592</v>
      </c>
      <c r="D100" s="52" t="s">
        <v>1487</v>
      </c>
      <c r="E100" s="52" t="s">
        <v>1487</v>
      </c>
      <c r="F100" s="52" t="s">
        <v>1478</v>
      </c>
      <c r="G100" s="52" t="s">
        <v>1471</v>
      </c>
      <c r="H100" s="52" t="s">
        <v>583</v>
      </c>
      <c r="I100" s="52" t="s">
        <v>1584</v>
      </c>
      <c r="J100" s="52">
        <v>13.0</v>
      </c>
      <c r="K100" s="52" t="s">
        <v>1473</v>
      </c>
      <c r="L100" s="52">
        <v>35.0</v>
      </c>
      <c r="M100" s="52">
        <v>10.0</v>
      </c>
      <c r="N100" s="52" t="s">
        <v>591</v>
      </c>
      <c r="O100" s="52" t="s">
        <v>1700</v>
      </c>
      <c r="P100" s="52" t="s">
        <v>587</v>
      </c>
      <c r="Q100" s="52" t="s">
        <v>1700</v>
      </c>
      <c r="S100" s="52">
        <v>6.0E7</v>
      </c>
      <c r="T100" s="52">
        <v>11125.0</v>
      </c>
      <c r="U100" s="52">
        <v>12125.0</v>
      </c>
      <c r="V100" s="52" t="s">
        <v>62</v>
      </c>
      <c r="W100" s="69">
        <v>45684.0</v>
      </c>
      <c r="X100" s="70">
        <v>45987.0</v>
      </c>
      <c r="Z100" s="70">
        <v>45987.0</v>
      </c>
      <c r="AA100" s="52" t="s">
        <v>42</v>
      </c>
    </row>
    <row r="101">
      <c r="A101" s="52">
        <v>99.0</v>
      </c>
      <c r="B101" s="52" t="s">
        <v>595</v>
      </c>
      <c r="C101" s="52" t="s">
        <v>597</v>
      </c>
      <c r="D101" s="52" t="s">
        <v>1487</v>
      </c>
      <c r="E101" s="52" t="s">
        <v>1487</v>
      </c>
      <c r="F101" s="52" t="s">
        <v>1478</v>
      </c>
      <c r="G101" s="52" t="s">
        <v>1471</v>
      </c>
      <c r="H101" s="52" t="s">
        <v>583</v>
      </c>
      <c r="I101" s="52" t="s">
        <v>1701</v>
      </c>
      <c r="J101" s="52">
        <v>17.0</v>
      </c>
      <c r="K101" s="52" t="s">
        <v>1473</v>
      </c>
      <c r="L101" s="52">
        <v>62.0</v>
      </c>
      <c r="M101" s="52">
        <v>26.0</v>
      </c>
      <c r="N101" s="52" t="s">
        <v>596</v>
      </c>
      <c r="O101" s="52" t="s">
        <v>1702</v>
      </c>
      <c r="P101" s="52" t="s">
        <v>587</v>
      </c>
      <c r="Q101" s="52" t="s">
        <v>1702</v>
      </c>
      <c r="S101" s="52">
        <v>8.3E7</v>
      </c>
      <c r="T101" s="52">
        <v>10825.0</v>
      </c>
      <c r="U101" s="52">
        <v>12625.0</v>
      </c>
      <c r="V101" s="52" t="s">
        <v>62</v>
      </c>
      <c r="W101" s="69">
        <v>45685.0</v>
      </c>
      <c r="X101" s="70">
        <v>45988.0</v>
      </c>
      <c r="Z101" s="70">
        <v>45988.0</v>
      </c>
      <c r="AA101" s="52" t="s">
        <v>42</v>
      </c>
    </row>
    <row r="102">
      <c r="A102" s="52">
        <v>100.0</v>
      </c>
      <c r="B102" s="52" t="s">
        <v>599</v>
      </c>
      <c r="C102" s="52" t="s">
        <v>601</v>
      </c>
      <c r="D102" s="52" t="s">
        <v>1540</v>
      </c>
      <c r="E102" s="52" t="s">
        <v>1540</v>
      </c>
      <c r="F102" s="52" t="s">
        <v>1478</v>
      </c>
      <c r="G102" s="52" t="s">
        <v>1471</v>
      </c>
      <c r="H102" s="52" t="s">
        <v>583</v>
      </c>
      <c r="I102" s="52" t="s">
        <v>1526</v>
      </c>
      <c r="J102" s="52">
        <v>13.0</v>
      </c>
      <c r="K102" s="52" t="s">
        <v>1473</v>
      </c>
      <c r="L102" s="52">
        <v>28.0</v>
      </c>
      <c r="M102" s="52">
        <v>10.0</v>
      </c>
      <c r="N102" s="52" t="s">
        <v>600</v>
      </c>
      <c r="O102" s="52" t="s">
        <v>1635</v>
      </c>
      <c r="P102" s="52" t="s">
        <v>587</v>
      </c>
      <c r="Q102" s="52" t="s">
        <v>1635</v>
      </c>
      <c r="R102" s="52" t="s">
        <v>1703</v>
      </c>
      <c r="S102" s="52">
        <v>3.0440667E7</v>
      </c>
      <c r="T102" s="52">
        <v>13025.0</v>
      </c>
      <c r="U102" s="52">
        <v>12225.0</v>
      </c>
      <c r="V102" s="52" t="s">
        <v>228</v>
      </c>
      <c r="W102" s="69">
        <v>45684.0</v>
      </c>
      <c r="X102" s="70">
        <v>45788.0</v>
      </c>
      <c r="Y102" s="52">
        <v>60.0</v>
      </c>
      <c r="Z102" s="70">
        <v>45838.0</v>
      </c>
      <c r="AA102" s="52" t="s">
        <v>42</v>
      </c>
    </row>
    <row r="103">
      <c r="A103" s="52">
        <v>101.0</v>
      </c>
      <c r="B103" s="52" t="s">
        <v>603</v>
      </c>
      <c r="C103" s="52" t="s">
        <v>1704</v>
      </c>
      <c r="D103" s="52" t="s">
        <v>1705</v>
      </c>
      <c r="E103" s="52" t="s">
        <v>1469</v>
      </c>
      <c r="F103" s="52" t="s">
        <v>1470</v>
      </c>
      <c r="G103" s="52" t="s">
        <v>1471</v>
      </c>
      <c r="H103" s="52" t="s">
        <v>583</v>
      </c>
      <c r="I103" s="52" t="s">
        <v>1479</v>
      </c>
      <c r="J103" s="52">
        <v>7.0</v>
      </c>
      <c r="K103" s="52" t="s">
        <v>1483</v>
      </c>
      <c r="L103" s="52">
        <v>57.0</v>
      </c>
      <c r="M103" s="52">
        <v>24.0</v>
      </c>
      <c r="N103" s="52" t="s">
        <v>604</v>
      </c>
      <c r="O103" s="52" t="s">
        <v>1706</v>
      </c>
      <c r="P103" s="52" t="s">
        <v>587</v>
      </c>
      <c r="Q103" s="52" t="s">
        <v>1706</v>
      </c>
      <c r="S103" s="52">
        <v>4.525E7</v>
      </c>
      <c r="T103" s="52">
        <v>12625.0</v>
      </c>
      <c r="U103" s="52">
        <v>12325.0</v>
      </c>
      <c r="V103" s="52" t="s">
        <v>38</v>
      </c>
      <c r="W103" s="69">
        <v>45684.0</v>
      </c>
      <c r="X103" s="70">
        <v>45987.0</v>
      </c>
      <c r="Z103" s="70">
        <v>45987.0</v>
      </c>
      <c r="AA103" s="52" t="s">
        <v>42</v>
      </c>
    </row>
    <row r="104">
      <c r="A104" s="52">
        <v>102.0</v>
      </c>
      <c r="B104" s="52" t="s">
        <v>609</v>
      </c>
      <c r="C104" s="52" t="s">
        <v>611</v>
      </c>
      <c r="D104" s="52" t="s">
        <v>1705</v>
      </c>
      <c r="E104" s="52" t="s">
        <v>1469</v>
      </c>
      <c r="F104" s="52" t="s">
        <v>1470</v>
      </c>
      <c r="G104" s="52" t="s">
        <v>1471</v>
      </c>
      <c r="H104" s="52" t="s">
        <v>583</v>
      </c>
      <c r="I104" s="52" t="s">
        <v>1472</v>
      </c>
      <c r="J104" s="52">
        <v>9.0</v>
      </c>
      <c r="K104" s="52" t="s">
        <v>1483</v>
      </c>
      <c r="L104" s="52">
        <v>44.0</v>
      </c>
      <c r="M104" s="52">
        <v>33.0</v>
      </c>
      <c r="N104" s="52" t="s">
        <v>610</v>
      </c>
      <c r="O104" s="52" t="s">
        <v>1707</v>
      </c>
      <c r="P104" s="52" t="s">
        <v>587</v>
      </c>
      <c r="Q104" s="52" t="s">
        <v>1707</v>
      </c>
      <c r="S104" s="52">
        <v>5.0E7</v>
      </c>
      <c r="T104" s="52">
        <v>12925.0</v>
      </c>
      <c r="U104" s="52">
        <v>13625.0</v>
      </c>
      <c r="V104" s="52" t="s">
        <v>38</v>
      </c>
      <c r="W104" s="69">
        <v>45686.0</v>
      </c>
      <c r="X104" s="70">
        <v>45989.0</v>
      </c>
      <c r="Z104" s="70">
        <v>45989.0</v>
      </c>
      <c r="AA104" s="52" t="s">
        <v>42</v>
      </c>
    </row>
    <row r="105">
      <c r="A105" s="52">
        <v>103.0</v>
      </c>
      <c r="B105" s="52" t="s">
        <v>613</v>
      </c>
      <c r="C105" s="52" t="s">
        <v>614</v>
      </c>
      <c r="D105" s="52" t="s">
        <v>1540</v>
      </c>
      <c r="E105" s="52" t="s">
        <v>1540</v>
      </c>
      <c r="F105" s="52" t="s">
        <v>1478</v>
      </c>
      <c r="G105" s="52" t="s">
        <v>1471</v>
      </c>
      <c r="H105" s="52" t="s">
        <v>583</v>
      </c>
      <c r="I105" s="52" t="s">
        <v>1526</v>
      </c>
      <c r="J105" s="52">
        <v>12.0</v>
      </c>
      <c r="K105" s="52" t="s">
        <v>1473</v>
      </c>
      <c r="L105" s="52">
        <v>47.0</v>
      </c>
      <c r="M105" s="52">
        <v>8.0</v>
      </c>
      <c r="N105" s="52" t="s">
        <v>600</v>
      </c>
      <c r="O105" s="52" t="s">
        <v>1708</v>
      </c>
      <c r="P105" s="52" t="s">
        <v>587</v>
      </c>
      <c r="Q105" s="52" t="s">
        <v>1708</v>
      </c>
      <c r="R105" s="52" t="s">
        <v>1709</v>
      </c>
      <c r="S105" s="52">
        <v>2.8094733E7</v>
      </c>
      <c r="T105" s="52">
        <v>13225.0</v>
      </c>
      <c r="U105" s="52">
        <v>12025.0</v>
      </c>
      <c r="V105" s="52" t="s">
        <v>228</v>
      </c>
      <c r="W105" s="69">
        <v>45684.0</v>
      </c>
      <c r="X105" s="70">
        <v>45788.0</v>
      </c>
      <c r="Y105" s="52">
        <v>60.0</v>
      </c>
      <c r="Z105" s="70">
        <v>45838.0</v>
      </c>
      <c r="AA105" s="52" t="s">
        <v>42</v>
      </c>
    </row>
    <row r="106">
      <c r="A106" s="52">
        <v>104.0</v>
      </c>
      <c r="B106" s="52" t="s">
        <v>616</v>
      </c>
      <c r="C106" s="52" t="s">
        <v>618</v>
      </c>
      <c r="D106" s="52" t="s">
        <v>1497</v>
      </c>
      <c r="E106" s="52" t="s">
        <v>1497</v>
      </c>
      <c r="F106" s="52" t="s">
        <v>1478</v>
      </c>
      <c r="G106" s="52" t="s">
        <v>1471</v>
      </c>
      <c r="H106" s="52" t="s">
        <v>583</v>
      </c>
      <c r="I106" s="52" t="s">
        <v>1538</v>
      </c>
      <c r="J106" s="52">
        <v>11.0</v>
      </c>
      <c r="K106" s="52" t="s">
        <v>1483</v>
      </c>
      <c r="L106" s="52">
        <v>39.0</v>
      </c>
      <c r="M106" s="52">
        <v>29.0</v>
      </c>
      <c r="N106" s="52" t="s">
        <v>1710</v>
      </c>
      <c r="O106" s="52" t="s">
        <v>1711</v>
      </c>
      <c r="P106" s="52" t="s">
        <v>587</v>
      </c>
      <c r="Q106" s="52" t="s">
        <v>1711</v>
      </c>
      <c r="S106" s="52">
        <v>5.6749E7</v>
      </c>
      <c r="T106" s="52">
        <v>11725.0</v>
      </c>
      <c r="U106" s="52">
        <v>13225.0</v>
      </c>
      <c r="V106" s="52" t="s">
        <v>77</v>
      </c>
      <c r="W106" s="69">
        <v>45685.0</v>
      </c>
      <c r="X106" s="70">
        <v>46018.0</v>
      </c>
      <c r="Z106" s="70">
        <v>46018.0</v>
      </c>
      <c r="AA106" s="52" t="s">
        <v>42</v>
      </c>
    </row>
    <row r="107">
      <c r="A107" s="52">
        <v>105.0</v>
      </c>
      <c r="B107" s="52" t="s">
        <v>621</v>
      </c>
      <c r="C107" s="52" t="s">
        <v>623</v>
      </c>
      <c r="D107" s="52" t="s">
        <v>1489</v>
      </c>
      <c r="E107" s="52" t="s">
        <v>1489</v>
      </c>
      <c r="F107" s="52" t="s">
        <v>1478</v>
      </c>
      <c r="G107" s="52" t="s">
        <v>1471</v>
      </c>
      <c r="H107" s="52" t="s">
        <v>583</v>
      </c>
      <c r="I107" s="52" t="s">
        <v>1712</v>
      </c>
      <c r="J107" s="52">
        <v>7.0</v>
      </c>
      <c r="K107" s="52" t="s">
        <v>1483</v>
      </c>
      <c r="L107" s="52">
        <v>48.0</v>
      </c>
      <c r="M107" s="52">
        <v>48.0</v>
      </c>
      <c r="N107" s="52" t="s">
        <v>622</v>
      </c>
      <c r="O107" s="52" t="s">
        <v>1713</v>
      </c>
      <c r="P107" s="52" t="s">
        <v>587</v>
      </c>
      <c r="Q107" s="52" t="s">
        <v>1713</v>
      </c>
      <c r="S107" s="52">
        <v>5.07E7</v>
      </c>
      <c r="T107" s="52">
        <v>16625.0</v>
      </c>
      <c r="U107" s="52">
        <v>12425.0</v>
      </c>
      <c r="V107" s="52" t="s">
        <v>624</v>
      </c>
      <c r="W107" s="69">
        <v>45685.0</v>
      </c>
      <c r="X107" s="70">
        <v>46022.0</v>
      </c>
      <c r="Z107" s="70">
        <v>46022.0</v>
      </c>
      <c r="AA107" s="52" t="s">
        <v>42</v>
      </c>
    </row>
    <row r="108">
      <c r="A108" s="52">
        <v>106.0</v>
      </c>
      <c r="B108" s="52" t="s">
        <v>626</v>
      </c>
      <c r="C108" s="52" t="s">
        <v>628</v>
      </c>
      <c r="D108" s="52" t="s">
        <v>1705</v>
      </c>
      <c r="E108" s="52" t="s">
        <v>1520</v>
      </c>
      <c r="F108" s="52" t="s">
        <v>1478</v>
      </c>
      <c r="G108" s="52" t="s">
        <v>1471</v>
      </c>
      <c r="H108" s="52" t="s">
        <v>583</v>
      </c>
      <c r="I108" s="52" t="s">
        <v>1479</v>
      </c>
      <c r="J108" s="52">
        <v>5.0</v>
      </c>
      <c r="K108" s="52" t="s">
        <v>1483</v>
      </c>
      <c r="L108" s="52">
        <v>54.0</v>
      </c>
      <c r="M108" s="52">
        <v>21.0</v>
      </c>
      <c r="N108" s="52" t="s">
        <v>627</v>
      </c>
      <c r="O108" s="52" t="s">
        <v>1714</v>
      </c>
      <c r="P108" s="52" t="s">
        <v>587</v>
      </c>
      <c r="Q108" s="52" t="s">
        <v>1714</v>
      </c>
      <c r="R108" s="72">
        <v>-2.233553E7</v>
      </c>
      <c r="S108" s="52">
        <v>1.928347E7</v>
      </c>
      <c r="T108" s="52">
        <v>13625.0</v>
      </c>
      <c r="U108" s="52">
        <v>12825.0</v>
      </c>
      <c r="V108" s="52" t="s">
        <v>152</v>
      </c>
      <c r="W108" s="69">
        <v>45685.0</v>
      </c>
      <c r="X108" s="70">
        <v>45988.0</v>
      </c>
      <c r="Z108" s="70">
        <v>45988.0</v>
      </c>
      <c r="AA108" s="52" t="s">
        <v>72</v>
      </c>
    </row>
    <row r="109">
      <c r="A109" s="52">
        <v>107.0</v>
      </c>
      <c r="B109" s="52" t="s">
        <v>630</v>
      </c>
      <c r="C109" s="52" t="s">
        <v>632</v>
      </c>
      <c r="D109" s="52" t="s">
        <v>1469</v>
      </c>
      <c r="E109" s="52" t="s">
        <v>1715</v>
      </c>
      <c r="F109" s="52" t="s">
        <v>1470</v>
      </c>
      <c r="G109" s="52" t="s">
        <v>1471</v>
      </c>
      <c r="H109" s="52" t="s">
        <v>583</v>
      </c>
      <c r="I109" s="52" t="s">
        <v>1716</v>
      </c>
      <c r="J109" s="52">
        <v>24.0</v>
      </c>
      <c r="K109" s="52" t="s">
        <v>1473</v>
      </c>
      <c r="L109" s="52">
        <v>64.0</v>
      </c>
      <c r="M109" s="52">
        <v>64.0</v>
      </c>
      <c r="N109" s="52" t="s">
        <v>631</v>
      </c>
      <c r="O109" s="52" t="s">
        <v>1717</v>
      </c>
      <c r="P109" s="52" t="s">
        <v>1524</v>
      </c>
      <c r="Q109" s="52" t="s">
        <v>1718</v>
      </c>
      <c r="S109" s="52">
        <v>1.506E8</v>
      </c>
      <c r="T109" s="52">
        <v>16825.0</v>
      </c>
      <c r="U109" s="52">
        <v>18325.0</v>
      </c>
      <c r="V109" s="52" t="s">
        <v>633</v>
      </c>
      <c r="W109" s="69">
        <v>45693.0</v>
      </c>
      <c r="X109" s="70">
        <v>46022.0</v>
      </c>
      <c r="Z109" s="70">
        <v>46022.0</v>
      </c>
      <c r="AA109" s="52" t="s">
        <v>42</v>
      </c>
    </row>
    <row r="110">
      <c r="A110" s="52">
        <v>108.0</v>
      </c>
      <c r="B110" s="52" t="s">
        <v>635</v>
      </c>
      <c r="C110" s="52" t="s">
        <v>637</v>
      </c>
      <c r="D110" s="52" t="s">
        <v>1719</v>
      </c>
      <c r="E110" s="52" t="s">
        <v>1469</v>
      </c>
      <c r="F110" s="52" t="s">
        <v>1470</v>
      </c>
      <c r="G110" s="52" t="s">
        <v>1471</v>
      </c>
      <c r="H110" s="52" t="s">
        <v>583</v>
      </c>
      <c r="I110" s="52" t="s">
        <v>1544</v>
      </c>
      <c r="J110" s="52">
        <v>16.0</v>
      </c>
      <c r="K110" s="52" t="s">
        <v>1473</v>
      </c>
      <c r="L110" s="52">
        <v>37.0</v>
      </c>
      <c r="M110" s="52">
        <v>37.0</v>
      </c>
      <c r="N110" s="52" t="s">
        <v>636</v>
      </c>
      <c r="O110" s="52" t="s">
        <v>1672</v>
      </c>
      <c r="P110" s="52" t="s">
        <v>587</v>
      </c>
      <c r="Q110" s="52" t="s">
        <v>1672</v>
      </c>
      <c r="S110" s="52">
        <v>7.3668E7</v>
      </c>
      <c r="T110" s="52">
        <v>15525.0</v>
      </c>
      <c r="U110" s="52">
        <v>11725.0</v>
      </c>
      <c r="V110" s="52" t="s">
        <v>38</v>
      </c>
      <c r="W110" s="69">
        <v>45684.0</v>
      </c>
      <c r="X110" s="70">
        <v>45987.0</v>
      </c>
      <c r="Z110" s="70">
        <v>45987.0</v>
      </c>
      <c r="AA110" s="52" t="s">
        <v>42</v>
      </c>
    </row>
    <row r="111">
      <c r="A111" s="52">
        <v>109.0</v>
      </c>
      <c r="B111" s="52" t="s">
        <v>640</v>
      </c>
      <c r="C111" s="52" t="s">
        <v>642</v>
      </c>
      <c r="D111" s="52" t="s">
        <v>176</v>
      </c>
      <c r="E111" s="52" t="s">
        <v>1482</v>
      </c>
      <c r="F111" s="52" t="s">
        <v>1478</v>
      </c>
      <c r="G111" s="52" t="s">
        <v>1471</v>
      </c>
      <c r="H111" s="52" t="s">
        <v>583</v>
      </c>
      <c r="I111" s="52" t="s">
        <v>1472</v>
      </c>
      <c r="J111" s="52">
        <v>14.0</v>
      </c>
      <c r="K111" s="52" t="s">
        <v>1473</v>
      </c>
      <c r="L111" s="52">
        <v>84.0</v>
      </c>
      <c r="M111" s="52">
        <v>46.0</v>
      </c>
      <c r="N111" s="52" t="s">
        <v>641</v>
      </c>
      <c r="O111" s="52" t="s">
        <v>1720</v>
      </c>
      <c r="P111" s="52" t="s">
        <v>587</v>
      </c>
      <c r="Q111" s="52" t="s">
        <v>1720</v>
      </c>
      <c r="R111" s="52" t="s">
        <v>1721</v>
      </c>
      <c r="S111" s="52">
        <v>6.9284527E7</v>
      </c>
      <c r="T111" s="52">
        <v>12525.0</v>
      </c>
      <c r="U111" s="52">
        <v>13525.0</v>
      </c>
      <c r="V111" s="52" t="s">
        <v>53</v>
      </c>
      <c r="W111" s="69">
        <v>45686.0</v>
      </c>
      <c r="X111" s="70">
        <v>45989.0</v>
      </c>
      <c r="Y111" s="52">
        <v>32.0</v>
      </c>
      <c r="Z111" s="70">
        <v>46022.0</v>
      </c>
      <c r="AA111" s="52" t="s">
        <v>42</v>
      </c>
    </row>
    <row r="112">
      <c r="A112" s="52">
        <v>110.0</v>
      </c>
      <c r="B112" s="52" t="s">
        <v>650</v>
      </c>
      <c r="C112" s="52" t="s">
        <v>652</v>
      </c>
      <c r="D112" s="52" t="s">
        <v>176</v>
      </c>
      <c r="E112" s="52" t="s">
        <v>1482</v>
      </c>
      <c r="F112" s="52" t="s">
        <v>1478</v>
      </c>
      <c r="G112" s="52" t="s">
        <v>1471</v>
      </c>
      <c r="H112" s="52" t="s">
        <v>583</v>
      </c>
      <c r="I112" s="52" t="s">
        <v>1479</v>
      </c>
      <c r="J112" s="52">
        <v>14.0</v>
      </c>
      <c r="K112" s="52" t="s">
        <v>1473</v>
      </c>
      <c r="L112" s="52">
        <v>31.0</v>
      </c>
      <c r="M112" s="52">
        <v>25.0</v>
      </c>
      <c r="N112" s="52" t="s">
        <v>651</v>
      </c>
      <c r="O112" s="52" t="s">
        <v>1722</v>
      </c>
      <c r="P112" s="52" t="s">
        <v>587</v>
      </c>
      <c r="Q112" s="52" t="s">
        <v>1722</v>
      </c>
      <c r="R112" s="52" t="s">
        <v>1723</v>
      </c>
      <c r="S112" s="52">
        <v>6.9264E7</v>
      </c>
      <c r="T112" s="52">
        <v>13425.0</v>
      </c>
      <c r="U112" s="52">
        <v>13325.0</v>
      </c>
      <c r="V112" s="52" t="s">
        <v>53</v>
      </c>
      <c r="W112" s="69">
        <v>45685.0</v>
      </c>
      <c r="X112" s="70">
        <v>46018.0</v>
      </c>
      <c r="Y112" s="52">
        <v>3.0</v>
      </c>
      <c r="Z112" s="70">
        <v>46022.0</v>
      </c>
      <c r="AA112" s="52" t="s">
        <v>42</v>
      </c>
    </row>
    <row r="113">
      <c r="A113" s="52">
        <v>111.0</v>
      </c>
      <c r="B113" s="52" t="s">
        <v>654</v>
      </c>
      <c r="C113" s="52" t="s">
        <v>656</v>
      </c>
      <c r="D113" s="52" t="s">
        <v>1469</v>
      </c>
      <c r="E113" s="52" t="s">
        <v>1469</v>
      </c>
      <c r="F113" s="52" t="s">
        <v>1470</v>
      </c>
      <c r="G113" s="52" t="s">
        <v>1471</v>
      </c>
      <c r="H113" s="52" t="s">
        <v>583</v>
      </c>
      <c r="I113" s="52" t="s">
        <v>1724</v>
      </c>
      <c r="J113" s="52">
        <v>15.0</v>
      </c>
      <c r="K113" s="52" t="s">
        <v>1473</v>
      </c>
      <c r="L113" s="52">
        <v>53.0</v>
      </c>
      <c r="M113" s="52">
        <v>34.0</v>
      </c>
      <c r="N113" s="52" t="s">
        <v>655</v>
      </c>
      <c r="O113" s="52" t="s">
        <v>1725</v>
      </c>
      <c r="P113" s="52" t="s">
        <v>1726</v>
      </c>
      <c r="Q113" s="52" t="s">
        <v>1727</v>
      </c>
      <c r="S113" s="52">
        <v>8.5E7</v>
      </c>
      <c r="T113" s="52">
        <v>15325.0</v>
      </c>
      <c r="U113" s="52">
        <v>12525.0</v>
      </c>
      <c r="V113" s="52" t="s">
        <v>91</v>
      </c>
      <c r="W113" s="69">
        <v>45685.0</v>
      </c>
      <c r="X113" s="70">
        <v>46018.0</v>
      </c>
      <c r="Z113" s="70">
        <v>46018.0</v>
      </c>
      <c r="AA113" s="52" t="s">
        <v>42</v>
      </c>
    </row>
    <row r="114">
      <c r="A114" s="52">
        <v>112.0</v>
      </c>
      <c r="B114" s="52" t="s">
        <v>663</v>
      </c>
      <c r="C114" s="52" t="s">
        <v>665</v>
      </c>
      <c r="D114" s="52" t="s">
        <v>1503</v>
      </c>
      <c r="E114" s="52" t="s">
        <v>1503</v>
      </c>
      <c r="F114" s="52" t="s">
        <v>1478</v>
      </c>
      <c r="G114" s="52" t="s">
        <v>1471</v>
      </c>
      <c r="H114" s="52" t="s">
        <v>583</v>
      </c>
      <c r="I114" s="52" t="s">
        <v>1724</v>
      </c>
      <c r="J114" s="52">
        <v>15.0</v>
      </c>
      <c r="K114" s="52" t="s">
        <v>1473</v>
      </c>
      <c r="L114" s="52">
        <v>72.0</v>
      </c>
      <c r="M114" s="52">
        <v>38.0</v>
      </c>
      <c r="N114" s="52" t="s">
        <v>664</v>
      </c>
      <c r="O114" s="52" t="s">
        <v>1728</v>
      </c>
      <c r="P114" s="52" t="s">
        <v>587</v>
      </c>
      <c r="Q114" s="52" t="s">
        <v>1728</v>
      </c>
      <c r="R114" s="52" t="s">
        <v>1729</v>
      </c>
      <c r="S114" s="52">
        <v>6.266749E7</v>
      </c>
      <c r="T114" s="52">
        <v>9425.0</v>
      </c>
      <c r="U114" s="52">
        <v>13925.0</v>
      </c>
      <c r="V114" s="52" t="s">
        <v>111</v>
      </c>
      <c r="W114" s="69">
        <v>45686.0</v>
      </c>
      <c r="X114" s="70">
        <v>45819.0</v>
      </c>
      <c r="Y114" s="52">
        <v>133.0</v>
      </c>
      <c r="Z114" s="70">
        <v>45954.0</v>
      </c>
      <c r="AA114" s="52" t="s">
        <v>42</v>
      </c>
    </row>
    <row r="115">
      <c r="A115" s="52">
        <v>113.0</v>
      </c>
      <c r="B115" s="52" t="s">
        <v>669</v>
      </c>
      <c r="C115" s="52" t="s">
        <v>671</v>
      </c>
      <c r="D115" s="52" t="s">
        <v>1487</v>
      </c>
      <c r="E115" s="52" t="s">
        <v>1487</v>
      </c>
      <c r="F115" s="52" t="s">
        <v>1478</v>
      </c>
      <c r="G115" s="52" t="s">
        <v>1471</v>
      </c>
      <c r="H115" s="52" t="s">
        <v>583</v>
      </c>
      <c r="I115" s="52" t="s">
        <v>1625</v>
      </c>
      <c r="J115" s="52">
        <v>15.0</v>
      </c>
      <c r="K115" s="52" t="s">
        <v>1473</v>
      </c>
      <c r="L115" s="52">
        <v>134.0</v>
      </c>
      <c r="M115" s="52">
        <v>23.0</v>
      </c>
      <c r="N115" s="52" t="s">
        <v>670</v>
      </c>
      <c r="O115" s="52" t="s">
        <v>1730</v>
      </c>
      <c r="P115" s="52" t="s">
        <v>587</v>
      </c>
      <c r="Q115" s="52" t="s">
        <v>1730</v>
      </c>
      <c r="S115" s="52">
        <v>5.832E7</v>
      </c>
      <c r="T115" s="52">
        <v>10925.0</v>
      </c>
      <c r="U115" s="52">
        <v>13825.0</v>
      </c>
      <c r="V115" s="52" t="s">
        <v>62</v>
      </c>
      <c r="W115" s="69">
        <v>45686.0</v>
      </c>
      <c r="X115" s="70">
        <v>45928.0</v>
      </c>
      <c r="Z115" s="70">
        <v>45928.0</v>
      </c>
      <c r="AA115" s="52" t="s">
        <v>42</v>
      </c>
    </row>
    <row r="116">
      <c r="A116" s="52">
        <v>114.0</v>
      </c>
      <c r="B116" s="52" t="s">
        <v>674</v>
      </c>
      <c r="C116" s="52" t="s">
        <v>676</v>
      </c>
      <c r="D116" s="52" t="s">
        <v>1487</v>
      </c>
      <c r="E116" s="52" t="s">
        <v>1487</v>
      </c>
      <c r="F116" s="52" t="s">
        <v>1478</v>
      </c>
      <c r="G116" s="52" t="s">
        <v>1471</v>
      </c>
      <c r="H116" s="52" t="s">
        <v>583</v>
      </c>
      <c r="I116" s="52" t="s">
        <v>1731</v>
      </c>
      <c r="J116" s="52">
        <v>13.0</v>
      </c>
      <c r="K116" s="52" t="s">
        <v>1473</v>
      </c>
      <c r="L116" s="52">
        <v>94.0</v>
      </c>
      <c r="M116" s="52">
        <v>14.0</v>
      </c>
      <c r="N116" s="52" t="s">
        <v>675</v>
      </c>
      <c r="O116" s="52" t="s">
        <v>1732</v>
      </c>
      <c r="P116" s="52" t="s">
        <v>587</v>
      </c>
      <c r="Q116" s="52" t="s">
        <v>1732</v>
      </c>
      <c r="S116" s="52">
        <v>3.6E7</v>
      </c>
      <c r="T116" s="52">
        <v>12125.0</v>
      </c>
      <c r="U116" s="52">
        <v>14025.0</v>
      </c>
      <c r="V116" s="52" t="s">
        <v>191</v>
      </c>
      <c r="W116" s="69">
        <v>45686.0</v>
      </c>
      <c r="X116" s="70">
        <v>45866.0</v>
      </c>
      <c r="Z116" s="70">
        <v>45866.0</v>
      </c>
      <c r="AA116" s="52" t="s">
        <v>42</v>
      </c>
    </row>
    <row r="117">
      <c r="A117" s="52">
        <v>115.0</v>
      </c>
      <c r="B117" s="52" t="s">
        <v>678</v>
      </c>
      <c r="C117" s="52" t="s">
        <v>680</v>
      </c>
      <c r="D117" s="52" t="s">
        <v>1487</v>
      </c>
      <c r="E117" s="52" t="s">
        <v>1487</v>
      </c>
      <c r="F117" s="52" t="s">
        <v>1478</v>
      </c>
      <c r="G117" s="52" t="s">
        <v>1471</v>
      </c>
      <c r="H117" s="52" t="s">
        <v>583</v>
      </c>
      <c r="I117" s="52" t="s">
        <v>1625</v>
      </c>
      <c r="J117" s="52">
        <v>10.0</v>
      </c>
      <c r="K117" s="52" t="s">
        <v>1473</v>
      </c>
      <c r="L117" s="52">
        <v>58.0</v>
      </c>
      <c r="M117" s="52">
        <v>38.0</v>
      </c>
      <c r="N117" s="52" t="s">
        <v>679</v>
      </c>
      <c r="O117" s="52" t="s">
        <v>1733</v>
      </c>
      <c r="P117" s="52" t="s">
        <v>587</v>
      </c>
      <c r="Q117" s="52" t="s">
        <v>1733</v>
      </c>
      <c r="S117" s="52">
        <v>5.61E7</v>
      </c>
      <c r="T117" s="52">
        <v>11025.0</v>
      </c>
      <c r="U117" s="52">
        <v>12725.0</v>
      </c>
      <c r="V117" s="52" t="s">
        <v>62</v>
      </c>
      <c r="W117" s="69">
        <v>45685.0</v>
      </c>
      <c r="X117" s="70">
        <v>46018.0</v>
      </c>
      <c r="Z117" s="70">
        <v>46018.0</v>
      </c>
      <c r="AA117" s="52" t="s">
        <v>42</v>
      </c>
    </row>
    <row r="118">
      <c r="A118" s="52">
        <v>116.0</v>
      </c>
      <c r="B118" s="52" t="s">
        <v>682</v>
      </c>
      <c r="C118" s="52" t="s">
        <v>684</v>
      </c>
      <c r="D118" s="52" t="s">
        <v>1487</v>
      </c>
      <c r="E118" s="52" t="s">
        <v>1487</v>
      </c>
      <c r="F118" s="52" t="s">
        <v>1478</v>
      </c>
      <c r="G118" s="52" t="s">
        <v>1471</v>
      </c>
      <c r="H118" s="52" t="s">
        <v>583</v>
      </c>
      <c r="I118" s="52" t="s">
        <v>1532</v>
      </c>
      <c r="J118" s="52">
        <v>19.0</v>
      </c>
      <c r="K118" s="52" t="s">
        <v>1473</v>
      </c>
      <c r="L118" s="52">
        <v>76.0</v>
      </c>
      <c r="M118" s="52">
        <v>76.0</v>
      </c>
      <c r="N118" s="52" t="s">
        <v>1734</v>
      </c>
      <c r="O118" s="52" t="s">
        <v>1735</v>
      </c>
      <c r="P118" s="52" t="s">
        <v>587</v>
      </c>
      <c r="Q118" s="52" t="s">
        <v>1735</v>
      </c>
      <c r="S118" s="52">
        <v>9.9E7</v>
      </c>
      <c r="T118" s="52">
        <v>16125.0</v>
      </c>
      <c r="U118" s="52">
        <v>13025.0</v>
      </c>
      <c r="V118" s="52" t="s">
        <v>203</v>
      </c>
      <c r="W118" s="69">
        <v>45685.0</v>
      </c>
      <c r="X118" s="70">
        <v>46018.0</v>
      </c>
      <c r="Z118" s="70">
        <v>46018.0</v>
      </c>
      <c r="AA118" s="52" t="s">
        <v>42</v>
      </c>
    </row>
    <row r="119">
      <c r="A119" s="52">
        <v>117.0</v>
      </c>
      <c r="B119" s="52" t="s">
        <v>687</v>
      </c>
      <c r="C119" s="52" t="s">
        <v>689</v>
      </c>
      <c r="D119" s="52" t="s">
        <v>1503</v>
      </c>
      <c r="E119" s="52" t="s">
        <v>1503</v>
      </c>
      <c r="F119" s="52" t="s">
        <v>1478</v>
      </c>
      <c r="G119" s="52" t="s">
        <v>1471</v>
      </c>
      <c r="H119" s="52" t="s">
        <v>583</v>
      </c>
      <c r="I119" s="52" t="s">
        <v>1724</v>
      </c>
      <c r="J119" s="52">
        <v>17.0</v>
      </c>
      <c r="K119" s="52" t="s">
        <v>1473</v>
      </c>
      <c r="L119" s="52">
        <v>31.0</v>
      </c>
      <c r="M119" s="52">
        <v>19.0</v>
      </c>
      <c r="N119" s="52" t="s">
        <v>688</v>
      </c>
      <c r="O119" s="52" t="s">
        <v>1736</v>
      </c>
      <c r="P119" s="52" t="s">
        <v>587</v>
      </c>
      <c r="Q119" s="52" t="s">
        <v>1736</v>
      </c>
      <c r="S119" s="52">
        <v>9.00116E7</v>
      </c>
      <c r="T119" s="52">
        <v>15225.0</v>
      </c>
      <c r="U119" s="52">
        <v>13425.0</v>
      </c>
      <c r="V119" s="52" t="s">
        <v>111</v>
      </c>
      <c r="W119" s="69">
        <v>45686.0</v>
      </c>
      <c r="X119" s="70">
        <v>46022.0</v>
      </c>
      <c r="Z119" s="70">
        <v>46022.0</v>
      </c>
      <c r="AA119" s="52" t="s">
        <v>42</v>
      </c>
    </row>
    <row r="120">
      <c r="A120" s="52">
        <v>118.0</v>
      </c>
      <c r="B120" s="52" t="s">
        <v>691</v>
      </c>
      <c r="C120" s="52" t="s">
        <v>693</v>
      </c>
      <c r="D120" s="52" t="s">
        <v>1513</v>
      </c>
      <c r="E120" s="52" t="s">
        <v>1513</v>
      </c>
      <c r="F120" s="52" t="s">
        <v>1478</v>
      </c>
      <c r="G120" s="52" t="s">
        <v>1471</v>
      </c>
      <c r="H120" s="52" t="s">
        <v>583</v>
      </c>
      <c r="I120" s="52" t="s">
        <v>1504</v>
      </c>
      <c r="J120" s="52">
        <v>19.0</v>
      </c>
      <c r="K120" s="52" t="s">
        <v>1473</v>
      </c>
      <c r="L120" s="52">
        <v>42.0</v>
      </c>
      <c r="M120" s="52">
        <v>42.0</v>
      </c>
      <c r="N120" s="52" t="s">
        <v>692</v>
      </c>
      <c r="O120" s="52" t="s">
        <v>1735</v>
      </c>
      <c r="P120" s="52" t="s">
        <v>587</v>
      </c>
      <c r="Q120" s="52" t="s">
        <v>1735</v>
      </c>
      <c r="S120" s="52">
        <v>9.9E7</v>
      </c>
      <c r="T120" s="52">
        <v>16025.0</v>
      </c>
      <c r="U120" s="52">
        <v>13725.0</v>
      </c>
      <c r="V120" s="52" t="s">
        <v>210</v>
      </c>
      <c r="W120" s="69">
        <v>45686.0</v>
      </c>
      <c r="X120" s="70">
        <v>46019.0</v>
      </c>
      <c r="Z120" s="70">
        <v>46019.0</v>
      </c>
      <c r="AA120" s="52" t="s">
        <v>42</v>
      </c>
    </row>
    <row r="121">
      <c r="A121" s="52">
        <v>119.0</v>
      </c>
      <c r="B121" s="52" t="s">
        <v>695</v>
      </c>
      <c r="C121" s="52" t="s">
        <v>697</v>
      </c>
      <c r="D121" s="52" t="s">
        <v>1497</v>
      </c>
      <c r="E121" s="52" t="s">
        <v>1497</v>
      </c>
      <c r="F121" s="52" t="s">
        <v>1478</v>
      </c>
      <c r="G121" s="52" t="s">
        <v>1471</v>
      </c>
      <c r="H121" s="52" t="s">
        <v>583</v>
      </c>
      <c r="I121" s="52" t="s">
        <v>1538</v>
      </c>
      <c r="J121" s="52">
        <v>7.0</v>
      </c>
      <c r="K121" s="52" t="s">
        <v>1473</v>
      </c>
      <c r="L121" s="52">
        <v>41.0</v>
      </c>
      <c r="M121" s="52">
        <v>35.0</v>
      </c>
      <c r="N121" s="52" t="s">
        <v>1737</v>
      </c>
      <c r="O121" s="52" t="s">
        <v>1627</v>
      </c>
      <c r="P121" s="52" t="s">
        <v>587</v>
      </c>
      <c r="Q121" s="52" t="s">
        <v>1627</v>
      </c>
      <c r="S121" s="52">
        <v>4.95E7</v>
      </c>
      <c r="T121" s="52">
        <v>17125.0</v>
      </c>
      <c r="U121" s="52">
        <v>18525.0</v>
      </c>
      <c r="V121" s="52" t="s">
        <v>77</v>
      </c>
      <c r="W121" s="69">
        <v>45693.0</v>
      </c>
      <c r="X121" s="70">
        <v>46022.0</v>
      </c>
      <c r="Z121" s="70">
        <v>46022.0</v>
      </c>
      <c r="AA121" s="52" t="s">
        <v>42</v>
      </c>
    </row>
    <row r="122">
      <c r="A122" s="52">
        <v>120.0</v>
      </c>
      <c r="B122" s="52" t="s">
        <v>700</v>
      </c>
      <c r="C122" s="52" t="s">
        <v>702</v>
      </c>
      <c r="D122" s="52" t="s">
        <v>1487</v>
      </c>
      <c r="E122" s="52" t="s">
        <v>1487</v>
      </c>
      <c r="F122" s="52" t="s">
        <v>1478</v>
      </c>
      <c r="G122" s="52" t="s">
        <v>1471</v>
      </c>
      <c r="H122" s="52" t="s">
        <v>1738</v>
      </c>
      <c r="I122" s="52" t="s">
        <v>1739</v>
      </c>
      <c r="J122" s="52">
        <v>18.0</v>
      </c>
      <c r="K122" s="52" t="s">
        <v>1473</v>
      </c>
      <c r="L122" s="52">
        <v>25.0</v>
      </c>
      <c r="M122" s="52">
        <v>7.0</v>
      </c>
      <c r="N122" s="52" t="s">
        <v>1740</v>
      </c>
      <c r="O122" s="52" t="s">
        <v>1741</v>
      </c>
      <c r="P122" s="52" t="s">
        <v>1742</v>
      </c>
      <c r="Q122" s="52" t="s">
        <v>1743</v>
      </c>
      <c r="S122" s="52">
        <v>5.9844E7</v>
      </c>
      <c r="T122" s="52">
        <v>12325.0</v>
      </c>
      <c r="U122" s="52">
        <v>16025.0</v>
      </c>
      <c r="V122" s="52" t="s">
        <v>191</v>
      </c>
      <c r="W122" s="69">
        <v>45688.0</v>
      </c>
      <c r="X122" s="70">
        <v>46021.0</v>
      </c>
      <c r="Z122" s="70">
        <v>46021.0</v>
      </c>
      <c r="AA122" s="52" t="s">
        <v>42</v>
      </c>
    </row>
    <row r="123">
      <c r="A123" s="52">
        <v>121.0</v>
      </c>
      <c r="B123" s="52" t="s">
        <v>704</v>
      </c>
      <c r="C123" s="52" t="s">
        <v>706</v>
      </c>
      <c r="D123" s="52" t="s">
        <v>1482</v>
      </c>
      <c r="E123" s="52" t="s">
        <v>1482</v>
      </c>
      <c r="F123" s="52" t="s">
        <v>1478</v>
      </c>
      <c r="G123" s="52" t="s">
        <v>1471</v>
      </c>
      <c r="H123" s="52" t="s">
        <v>583</v>
      </c>
      <c r="I123" s="52" t="s">
        <v>1744</v>
      </c>
      <c r="J123" s="52">
        <v>15.0</v>
      </c>
      <c r="K123" s="52" t="s">
        <v>1473</v>
      </c>
      <c r="L123" s="52">
        <v>32.0</v>
      </c>
      <c r="M123" s="52">
        <v>21.0</v>
      </c>
      <c r="N123" s="52" t="s">
        <v>705</v>
      </c>
      <c r="O123" s="52" t="s">
        <v>1745</v>
      </c>
      <c r="P123" s="52" t="s">
        <v>587</v>
      </c>
      <c r="Q123" s="52" t="s">
        <v>1745</v>
      </c>
      <c r="S123" s="52">
        <v>4.37796E7</v>
      </c>
      <c r="T123" s="52">
        <v>13725.0</v>
      </c>
      <c r="U123" s="52">
        <v>14625.0</v>
      </c>
      <c r="V123" s="52" t="s">
        <v>53</v>
      </c>
      <c r="W123" s="69">
        <v>45688.0</v>
      </c>
      <c r="X123" s="70">
        <v>45867.0</v>
      </c>
      <c r="Z123" s="70">
        <v>45867.0</v>
      </c>
      <c r="AA123" s="52" t="s">
        <v>42</v>
      </c>
    </row>
    <row r="124">
      <c r="A124" s="52">
        <v>122.0</v>
      </c>
      <c r="B124" s="52" t="s">
        <v>709</v>
      </c>
      <c r="C124" s="52" t="s">
        <v>711</v>
      </c>
      <c r="D124" s="52" t="s">
        <v>1482</v>
      </c>
      <c r="E124" s="52" t="s">
        <v>1482</v>
      </c>
      <c r="F124" s="52" t="s">
        <v>1478</v>
      </c>
      <c r="G124" s="52" t="s">
        <v>1471</v>
      </c>
      <c r="H124" s="52" t="s">
        <v>583</v>
      </c>
      <c r="I124" s="52" t="s">
        <v>1744</v>
      </c>
      <c r="J124" s="52">
        <v>15.0</v>
      </c>
      <c r="K124" s="52" t="s">
        <v>1473</v>
      </c>
      <c r="L124" s="52">
        <v>39.0</v>
      </c>
      <c r="M124" s="52">
        <v>21.0</v>
      </c>
      <c r="N124" s="52" t="s">
        <v>710</v>
      </c>
      <c r="O124" s="52" t="s">
        <v>1745</v>
      </c>
      <c r="P124" s="52" t="s">
        <v>587</v>
      </c>
      <c r="Q124" s="52" t="s">
        <v>1745</v>
      </c>
      <c r="S124" s="52">
        <v>4.37796E7</v>
      </c>
      <c r="T124" s="52">
        <v>14025.0</v>
      </c>
      <c r="U124" s="52">
        <v>15625.0</v>
      </c>
      <c r="V124" s="52" t="s">
        <v>53</v>
      </c>
      <c r="W124" s="69">
        <v>45688.0</v>
      </c>
      <c r="X124" s="70">
        <v>45868.0</v>
      </c>
      <c r="Z124" s="70">
        <v>45868.0</v>
      </c>
      <c r="AA124" s="52" t="s">
        <v>42</v>
      </c>
    </row>
    <row r="125">
      <c r="A125" s="52">
        <v>123.0</v>
      </c>
      <c r="B125" s="52" t="s">
        <v>714</v>
      </c>
      <c r="C125" s="52" t="s">
        <v>716</v>
      </c>
      <c r="D125" s="52" t="s">
        <v>1482</v>
      </c>
      <c r="E125" s="52" t="s">
        <v>1482</v>
      </c>
      <c r="F125" s="52" t="s">
        <v>1478</v>
      </c>
      <c r="G125" s="52" t="s">
        <v>1471</v>
      </c>
      <c r="H125" s="52" t="s">
        <v>583</v>
      </c>
      <c r="I125" s="52" t="s">
        <v>1526</v>
      </c>
      <c r="J125" s="52">
        <v>15.0</v>
      </c>
      <c r="K125" s="52" t="s">
        <v>1473</v>
      </c>
      <c r="L125" s="52">
        <v>125.0</v>
      </c>
      <c r="M125" s="52">
        <v>125.0</v>
      </c>
      <c r="N125" s="52" t="s">
        <v>715</v>
      </c>
      <c r="O125" s="52" t="s">
        <v>1745</v>
      </c>
      <c r="P125" s="52" t="s">
        <v>587</v>
      </c>
      <c r="Q125" s="52" t="s">
        <v>1745</v>
      </c>
      <c r="S125" s="52">
        <v>4.37796E7</v>
      </c>
      <c r="T125" s="52">
        <v>13525.0</v>
      </c>
      <c r="U125" s="52">
        <v>14825.0</v>
      </c>
      <c r="V125" s="52" t="s">
        <v>53</v>
      </c>
      <c r="W125" s="69">
        <v>45688.0</v>
      </c>
      <c r="X125" s="70">
        <v>45866.0</v>
      </c>
      <c r="Z125" s="70">
        <v>45866.0</v>
      </c>
      <c r="AA125" s="52" t="s">
        <v>42</v>
      </c>
    </row>
    <row r="126">
      <c r="A126" s="52">
        <v>124.0</v>
      </c>
      <c r="B126" s="52" t="s">
        <v>719</v>
      </c>
      <c r="C126" s="52" t="s">
        <v>721</v>
      </c>
      <c r="D126" s="52" t="s">
        <v>1482</v>
      </c>
      <c r="E126" s="52" t="s">
        <v>1482</v>
      </c>
      <c r="F126" s="52" t="s">
        <v>1478</v>
      </c>
      <c r="G126" s="52" t="s">
        <v>1471</v>
      </c>
      <c r="H126" s="52" t="s">
        <v>583</v>
      </c>
      <c r="I126" s="52" t="s">
        <v>1526</v>
      </c>
      <c r="J126" s="52">
        <v>15.0</v>
      </c>
      <c r="K126" s="52" t="s">
        <v>1473</v>
      </c>
      <c r="L126" s="52">
        <v>31.0</v>
      </c>
      <c r="M126" s="52">
        <v>16.0</v>
      </c>
      <c r="N126" s="52" t="s">
        <v>720</v>
      </c>
      <c r="O126" s="52" t="s">
        <v>1745</v>
      </c>
      <c r="P126" s="52" t="s">
        <v>587</v>
      </c>
      <c r="Q126" s="52" t="s">
        <v>1745</v>
      </c>
      <c r="S126" s="52">
        <v>4.37796E7</v>
      </c>
      <c r="T126" s="52">
        <v>13925.0</v>
      </c>
      <c r="U126" s="52">
        <v>14725.0</v>
      </c>
      <c r="V126" s="52" t="s">
        <v>53</v>
      </c>
      <c r="W126" s="69">
        <v>45688.0</v>
      </c>
      <c r="X126" s="70">
        <v>45867.0</v>
      </c>
      <c r="Z126" s="70">
        <v>45867.0</v>
      </c>
      <c r="AA126" s="52" t="s">
        <v>42</v>
      </c>
    </row>
    <row r="127">
      <c r="A127" s="52">
        <v>125.0</v>
      </c>
      <c r="B127" s="52" t="s">
        <v>723</v>
      </c>
      <c r="C127" s="52" t="s">
        <v>725</v>
      </c>
      <c r="D127" s="52" t="s">
        <v>1520</v>
      </c>
      <c r="E127" s="52" t="s">
        <v>1520</v>
      </c>
      <c r="F127" s="52" t="s">
        <v>1478</v>
      </c>
      <c r="G127" s="52" t="s">
        <v>1471</v>
      </c>
      <c r="H127" s="52" t="s">
        <v>583</v>
      </c>
      <c r="I127" s="52" t="s">
        <v>1712</v>
      </c>
      <c r="J127" s="52">
        <v>12.0</v>
      </c>
      <c r="K127" s="52" t="s">
        <v>1473</v>
      </c>
      <c r="L127" s="52">
        <v>76.0</v>
      </c>
      <c r="M127" s="52">
        <v>17.0</v>
      </c>
      <c r="N127" s="52" t="s">
        <v>724</v>
      </c>
      <c r="O127" s="52" t="s">
        <v>1746</v>
      </c>
      <c r="P127" s="52" t="s">
        <v>587</v>
      </c>
      <c r="Q127" s="52" t="s">
        <v>1746</v>
      </c>
      <c r="S127" s="52">
        <v>3.5437675E7</v>
      </c>
      <c r="T127" s="52">
        <v>12825.0</v>
      </c>
      <c r="U127" s="52">
        <v>15225.0</v>
      </c>
      <c r="V127" s="52" t="s">
        <v>152</v>
      </c>
      <c r="W127" s="69">
        <v>45688.0</v>
      </c>
      <c r="X127" s="70">
        <v>45874.0</v>
      </c>
      <c r="Z127" s="70">
        <v>45874.0</v>
      </c>
      <c r="AA127" s="52" t="s">
        <v>42</v>
      </c>
    </row>
    <row r="128">
      <c r="A128" s="52">
        <v>126.0</v>
      </c>
      <c r="B128" s="52" t="s">
        <v>727</v>
      </c>
      <c r="C128" s="52" t="s">
        <v>729</v>
      </c>
      <c r="D128" s="52" t="s">
        <v>1469</v>
      </c>
      <c r="E128" s="52" t="s">
        <v>1469</v>
      </c>
      <c r="F128" s="52" t="s">
        <v>1478</v>
      </c>
      <c r="G128" s="52" t="s">
        <v>1471</v>
      </c>
      <c r="H128" s="52" t="s">
        <v>583</v>
      </c>
      <c r="I128" s="52" t="s">
        <v>1493</v>
      </c>
      <c r="J128" s="52">
        <v>24.0</v>
      </c>
      <c r="K128" s="52" t="s">
        <v>1473</v>
      </c>
      <c r="L128" s="52">
        <v>109.0</v>
      </c>
      <c r="M128" s="52">
        <v>109.0</v>
      </c>
      <c r="N128" s="52" t="s">
        <v>728</v>
      </c>
      <c r="O128" s="52" t="s">
        <v>1747</v>
      </c>
      <c r="P128" s="52" t="s">
        <v>1748</v>
      </c>
      <c r="Q128" s="52" t="s">
        <v>1749</v>
      </c>
      <c r="R128" s="72">
        <v>-1320781.0</v>
      </c>
      <c r="S128" s="52">
        <v>1.54026419E8</v>
      </c>
      <c r="T128" s="52">
        <v>14425.0</v>
      </c>
      <c r="U128" s="52">
        <v>14325.0</v>
      </c>
      <c r="V128" s="52" t="s">
        <v>730</v>
      </c>
      <c r="W128" s="69">
        <v>45688.0</v>
      </c>
      <c r="X128" s="70">
        <v>46022.0</v>
      </c>
      <c r="Z128" s="70">
        <v>46022.0</v>
      </c>
      <c r="AA128" s="52" t="s">
        <v>42</v>
      </c>
    </row>
    <row r="129">
      <c r="A129" s="52">
        <v>127.0</v>
      </c>
      <c r="B129" s="52" t="s">
        <v>732</v>
      </c>
      <c r="C129" s="52" t="s">
        <v>734</v>
      </c>
      <c r="D129" s="52" t="s">
        <v>1489</v>
      </c>
      <c r="E129" s="52" t="s">
        <v>1489</v>
      </c>
      <c r="F129" s="52" t="s">
        <v>1478</v>
      </c>
      <c r="G129" s="52" t="s">
        <v>1471</v>
      </c>
      <c r="H129" s="52" t="s">
        <v>583</v>
      </c>
      <c r="I129" s="52" t="s">
        <v>1750</v>
      </c>
      <c r="J129" s="52">
        <v>15.0</v>
      </c>
      <c r="K129" s="52" t="s">
        <v>1473</v>
      </c>
      <c r="L129" s="52">
        <v>54.0</v>
      </c>
      <c r="M129" s="52">
        <v>21.0</v>
      </c>
      <c r="N129" s="52" t="s">
        <v>733</v>
      </c>
      <c r="O129" s="52" t="s">
        <v>1751</v>
      </c>
      <c r="P129" s="52" t="s">
        <v>587</v>
      </c>
      <c r="Q129" s="52" t="s">
        <v>1751</v>
      </c>
      <c r="S129" s="52">
        <v>7.81E7</v>
      </c>
      <c r="T129" s="52">
        <v>20125.0</v>
      </c>
      <c r="U129" s="52">
        <v>14425.0</v>
      </c>
      <c r="V129" s="52" t="s">
        <v>367</v>
      </c>
      <c r="W129" s="69">
        <v>45688.0</v>
      </c>
      <c r="X129" s="70">
        <v>46020.0</v>
      </c>
      <c r="Z129" s="70">
        <v>46020.0</v>
      </c>
      <c r="AA129" s="52" t="s">
        <v>42</v>
      </c>
    </row>
    <row r="130">
      <c r="A130" s="52">
        <v>128.0</v>
      </c>
      <c r="B130" s="52" t="s">
        <v>736</v>
      </c>
      <c r="C130" s="52" t="s">
        <v>738</v>
      </c>
      <c r="D130" s="52" t="s">
        <v>1520</v>
      </c>
      <c r="E130" s="52" t="s">
        <v>1520</v>
      </c>
      <c r="F130" s="52" t="s">
        <v>1478</v>
      </c>
      <c r="G130" s="52" t="s">
        <v>1471</v>
      </c>
      <c r="H130" s="52" t="s">
        <v>583</v>
      </c>
      <c r="I130" s="52" t="s">
        <v>1752</v>
      </c>
      <c r="J130" s="52">
        <v>21.0</v>
      </c>
      <c r="K130" s="52" t="s">
        <v>1473</v>
      </c>
      <c r="L130" s="52">
        <v>74.0</v>
      </c>
      <c r="M130" s="52">
        <v>51.0</v>
      </c>
      <c r="N130" s="52" t="s">
        <v>737</v>
      </c>
      <c r="O130" s="52" t="s">
        <v>1753</v>
      </c>
      <c r="P130" s="52" t="s">
        <v>1754</v>
      </c>
      <c r="Q130" s="52" t="s">
        <v>1755</v>
      </c>
      <c r="S130" s="52">
        <v>1.155991E8</v>
      </c>
      <c r="T130" s="52">
        <v>16325.0</v>
      </c>
      <c r="U130" s="52">
        <v>14525.0</v>
      </c>
      <c r="V130" s="52" t="s">
        <v>152</v>
      </c>
      <c r="W130" s="69">
        <v>45688.0</v>
      </c>
      <c r="X130" s="70">
        <v>46020.0</v>
      </c>
      <c r="Z130" s="70">
        <v>46020.0</v>
      </c>
      <c r="AA130" s="52" t="s">
        <v>42</v>
      </c>
    </row>
    <row r="131">
      <c r="A131" s="52">
        <v>129.0</v>
      </c>
      <c r="B131" s="52" t="s">
        <v>741</v>
      </c>
      <c r="C131" s="52" t="s">
        <v>743</v>
      </c>
      <c r="D131" s="52" t="s">
        <v>1520</v>
      </c>
      <c r="E131" s="52" t="s">
        <v>1520</v>
      </c>
      <c r="F131" s="52" t="s">
        <v>1478</v>
      </c>
      <c r="G131" s="52" t="s">
        <v>1471</v>
      </c>
      <c r="H131" s="52" t="s">
        <v>583</v>
      </c>
      <c r="I131" s="52" t="s">
        <v>1521</v>
      </c>
      <c r="J131" s="52">
        <v>21.0</v>
      </c>
      <c r="K131" s="52" t="s">
        <v>1473</v>
      </c>
      <c r="L131" s="52">
        <v>56.0</v>
      </c>
      <c r="M131" s="52">
        <v>45.0</v>
      </c>
      <c r="N131" s="52" t="s">
        <v>742</v>
      </c>
      <c r="O131" s="52" t="s">
        <v>1753</v>
      </c>
      <c r="P131" s="52" t="s">
        <v>1604</v>
      </c>
      <c r="Q131" s="52" t="s">
        <v>1756</v>
      </c>
      <c r="S131" s="52">
        <v>1.159991E8</v>
      </c>
      <c r="T131" s="52">
        <v>15925.0</v>
      </c>
      <c r="U131" s="52">
        <v>15125.0</v>
      </c>
      <c r="V131" s="52" t="s">
        <v>152</v>
      </c>
      <c r="W131" s="69">
        <v>45688.0</v>
      </c>
      <c r="X131" s="70">
        <v>46021.0</v>
      </c>
      <c r="Z131" s="70">
        <v>46021.0</v>
      </c>
      <c r="AA131" s="52" t="s">
        <v>42</v>
      </c>
    </row>
    <row r="132">
      <c r="A132" s="52">
        <v>130.0</v>
      </c>
      <c r="B132" s="52" t="s">
        <v>746</v>
      </c>
      <c r="C132" s="52" t="s">
        <v>748</v>
      </c>
      <c r="D132" s="52" t="s">
        <v>1520</v>
      </c>
      <c r="E132" s="52" t="s">
        <v>1520</v>
      </c>
      <c r="F132" s="52" t="s">
        <v>1478</v>
      </c>
      <c r="G132" s="52" t="s">
        <v>1471</v>
      </c>
      <c r="H132" s="52" t="s">
        <v>583</v>
      </c>
      <c r="I132" s="52" t="s">
        <v>1757</v>
      </c>
      <c r="J132" s="52">
        <v>19.0</v>
      </c>
      <c r="K132" s="52" t="s">
        <v>1473</v>
      </c>
      <c r="L132" s="52">
        <v>78.0</v>
      </c>
      <c r="M132" s="52">
        <v>73.0</v>
      </c>
      <c r="N132" s="52" t="s">
        <v>747</v>
      </c>
      <c r="O132" s="52" t="s">
        <v>1758</v>
      </c>
      <c r="P132" s="52" t="s">
        <v>1601</v>
      </c>
      <c r="Q132" s="52" t="s">
        <v>1759</v>
      </c>
      <c r="S132" s="52">
        <v>9.957195E7</v>
      </c>
      <c r="T132" s="52">
        <v>16425.0</v>
      </c>
      <c r="U132" s="52">
        <v>15425.0</v>
      </c>
      <c r="V132" s="52" t="s">
        <v>152</v>
      </c>
      <c r="W132" s="69">
        <v>45688.0</v>
      </c>
      <c r="X132" s="70">
        <v>46021.0</v>
      </c>
      <c r="Z132" s="70">
        <v>46021.0</v>
      </c>
      <c r="AA132" s="52" t="s">
        <v>42</v>
      </c>
    </row>
    <row r="133">
      <c r="A133" s="52">
        <v>131.0</v>
      </c>
      <c r="B133" s="52" t="s">
        <v>751</v>
      </c>
      <c r="C133" s="52" t="s">
        <v>753</v>
      </c>
      <c r="D133" s="52" t="s">
        <v>1469</v>
      </c>
      <c r="E133" s="52" t="s">
        <v>1469</v>
      </c>
      <c r="F133" s="52" t="s">
        <v>1478</v>
      </c>
      <c r="G133" s="52" t="s">
        <v>1471</v>
      </c>
      <c r="H133" s="52" t="s">
        <v>583</v>
      </c>
      <c r="I133" s="52" t="s">
        <v>1760</v>
      </c>
      <c r="J133" s="52">
        <v>19.0</v>
      </c>
      <c r="K133" s="52" t="s">
        <v>1473</v>
      </c>
      <c r="L133" s="52">
        <v>39.0</v>
      </c>
      <c r="M133" s="52">
        <v>39.0</v>
      </c>
      <c r="N133" s="52" t="s">
        <v>752</v>
      </c>
      <c r="O133" s="52" t="s">
        <v>1758</v>
      </c>
      <c r="P133" s="52" t="s">
        <v>587</v>
      </c>
      <c r="Q133" s="52" t="s">
        <v>1758</v>
      </c>
      <c r="S133" s="52">
        <v>9.897195E7</v>
      </c>
      <c r="T133" s="52">
        <v>14125.0</v>
      </c>
      <c r="U133" s="52">
        <v>14225.0</v>
      </c>
      <c r="V133" s="52" t="s">
        <v>730</v>
      </c>
      <c r="W133" s="69">
        <v>45688.0</v>
      </c>
      <c r="X133" s="70">
        <v>46020.0</v>
      </c>
      <c r="Z133" s="70">
        <v>46020.0</v>
      </c>
      <c r="AA133" s="52" t="s">
        <v>42</v>
      </c>
    </row>
    <row r="134">
      <c r="A134" s="52">
        <v>132.0</v>
      </c>
      <c r="B134" s="52" t="s">
        <v>755</v>
      </c>
      <c r="C134" s="52" t="s">
        <v>757</v>
      </c>
      <c r="D134" s="52" t="s">
        <v>1469</v>
      </c>
      <c r="E134" s="52" t="s">
        <v>1469</v>
      </c>
      <c r="F134" s="52" t="s">
        <v>1470</v>
      </c>
      <c r="G134" s="52" t="s">
        <v>1471</v>
      </c>
      <c r="H134" s="52" t="s">
        <v>583</v>
      </c>
      <c r="I134" s="52" t="s">
        <v>1526</v>
      </c>
      <c r="J134" s="52">
        <v>18.0</v>
      </c>
      <c r="K134" s="52" t="s">
        <v>1473</v>
      </c>
      <c r="L134" s="52">
        <v>61.0</v>
      </c>
      <c r="M134" s="52">
        <v>30.0</v>
      </c>
      <c r="N134" s="52" t="s">
        <v>756</v>
      </c>
      <c r="O134" s="52" t="s">
        <v>1523</v>
      </c>
      <c r="P134" s="52" t="s">
        <v>587</v>
      </c>
      <c r="Q134" s="52" t="s">
        <v>1523</v>
      </c>
      <c r="S134" s="52">
        <v>9.515E7</v>
      </c>
      <c r="T134" s="52">
        <v>15625.0</v>
      </c>
      <c r="U134" s="52">
        <v>15725.0</v>
      </c>
      <c r="V134" s="52" t="s">
        <v>91</v>
      </c>
      <c r="W134" s="69">
        <v>45688.0</v>
      </c>
      <c r="X134" s="70">
        <v>46021.0</v>
      </c>
      <c r="Z134" s="70">
        <v>46021.0</v>
      </c>
      <c r="AA134" s="52" t="s">
        <v>42</v>
      </c>
    </row>
    <row r="135">
      <c r="A135" s="52">
        <v>133.0</v>
      </c>
      <c r="B135" s="52" t="s">
        <v>759</v>
      </c>
      <c r="C135" s="52" t="s">
        <v>761</v>
      </c>
      <c r="D135" s="52" t="s">
        <v>1469</v>
      </c>
      <c r="E135" s="52" t="s">
        <v>1469</v>
      </c>
      <c r="F135" s="52" t="s">
        <v>1478</v>
      </c>
      <c r="G135" s="52" t="s">
        <v>1471</v>
      </c>
      <c r="H135" s="52" t="s">
        <v>583</v>
      </c>
      <c r="I135" s="52" t="s">
        <v>1526</v>
      </c>
      <c r="J135" s="52">
        <v>24.0</v>
      </c>
      <c r="K135" s="52" t="s">
        <v>1473</v>
      </c>
      <c r="L135" s="52">
        <v>59.0</v>
      </c>
      <c r="M135" s="52">
        <v>59.0</v>
      </c>
      <c r="N135" s="52" t="s">
        <v>760</v>
      </c>
      <c r="O135" s="52" t="s">
        <v>1761</v>
      </c>
      <c r="P135" s="52" t="s">
        <v>1762</v>
      </c>
      <c r="Q135" s="52" t="s">
        <v>1763</v>
      </c>
      <c r="S135" s="52">
        <v>1.420265E8</v>
      </c>
      <c r="T135" s="52">
        <v>14225.0</v>
      </c>
      <c r="U135" s="52">
        <v>15025.0</v>
      </c>
      <c r="V135" s="52" t="s">
        <v>762</v>
      </c>
      <c r="W135" s="69">
        <v>45688.0</v>
      </c>
      <c r="X135" s="70">
        <v>46021.0</v>
      </c>
      <c r="Z135" s="70">
        <v>46021.0</v>
      </c>
      <c r="AA135" s="52" t="s">
        <v>42</v>
      </c>
    </row>
    <row r="136">
      <c r="A136" s="52">
        <v>134.0</v>
      </c>
      <c r="B136" s="52" t="s">
        <v>763</v>
      </c>
      <c r="C136" s="52" t="s">
        <v>765</v>
      </c>
      <c r="D136" s="52" t="s">
        <v>176</v>
      </c>
      <c r="E136" s="52" t="s">
        <v>1469</v>
      </c>
      <c r="F136" s="52" t="s">
        <v>1470</v>
      </c>
      <c r="G136" s="52" t="s">
        <v>1471</v>
      </c>
      <c r="H136" s="52" t="s">
        <v>583</v>
      </c>
      <c r="I136" s="52" t="s">
        <v>1472</v>
      </c>
      <c r="J136" s="52">
        <v>18.0</v>
      </c>
      <c r="K136" s="52" t="s">
        <v>1473</v>
      </c>
      <c r="L136" s="52">
        <v>43.0</v>
      </c>
      <c r="M136" s="52">
        <v>43.0</v>
      </c>
      <c r="N136" s="52" t="s">
        <v>764</v>
      </c>
      <c r="O136" s="52" t="s">
        <v>1764</v>
      </c>
      <c r="P136" s="52" t="s">
        <v>587</v>
      </c>
      <c r="Q136" s="52" t="s">
        <v>1764</v>
      </c>
      <c r="S136" s="52">
        <v>8.569E7</v>
      </c>
      <c r="T136" s="52">
        <v>12725.0</v>
      </c>
      <c r="U136" s="52">
        <v>14925.0</v>
      </c>
      <c r="V136" s="52" t="s">
        <v>38</v>
      </c>
      <c r="W136" s="69">
        <v>45688.0</v>
      </c>
      <c r="X136" s="70">
        <v>45991.0</v>
      </c>
      <c r="Z136" s="70">
        <v>45991.0</v>
      </c>
      <c r="AA136" s="52" t="s">
        <v>42</v>
      </c>
    </row>
    <row r="137">
      <c r="A137" s="52">
        <v>135.0</v>
      </c>
      <c r="B137" s="52" t="s">
        <v>767</v>
      </c>
      <c r="C137" s="52" t="s">
        <v>769</v>
      </c>
      <c r="D137" s="52" t="s">
        <v>176</v>
      </c>
      <c r="E137" s="52" t="s">
        <v>1469</v>
      </c>
      <c r="F137" s="52" t="s">
        <v>1470</v>
      </c>
      <c r="G137" s="52" t="s">
        <v>1471</v>
      </c>
      <c r="H137" s="52" t="s">
        <v>583</v>
      </c>
      <c r="I137" s="52" t="s">
        <v>1472</v>
      </c>
      <c r="J137" s="52">
        <v>5.0</v>
      </c>
      <c r="K137" s="52" t="s">
        <v>1473</v>
      </c>
      <c r="L137" s="52">
        <v>26.0</v>
      </c>
      <c r="M137" s="52">
        <v>10.0</v>
      </c>
      <c r="N137" s="52" t="s">
        <v>768</v>
      </c>
      <c r="O137" s="52" t="s">
        <v>1765</v>
      </c>
      <c r="P137" s="52" t="s">
        <v>587</v>
      </c>
      <c r="Q137" s="52" t="s">
        <v>1765</v>
      </c>
      <c r="S137" s="52">
        <v>3.9963E7</v>
      </c>
      <c r="T137" s="52">
        <v>12425.0</v>
      </c>
      <c r="U137" s="52">
        <v>16625.0</v>
      </c>
      <c r="V137" s="52" t="s">
        <v>38</v>
      </c>
      <c r="W137" s="69">
        <v>45691.0</v>
      </c>
      <c r="X137" s="70">
        <v>45993.0</v>
      </c>
      <c r="Z137" s="70">
        <v>45993.0</v>
      </c>
      <c r="AA137" s="52" t="s">
        <v>42</v>
      </c>
    </row>
    <row r="138">
      <c r="A138" s="52">
        <v>136.0</v>
      </c>
      <c r="B138" s="52" t="s">
        <v>771</v>
      </c>
      <c r="C138" s="52" t="s">
        <v>773</v>
      </c>
      <c r="D138" s="52" t="s">
        <v>1482</v>
      </c>
      <c r="E138" s="52" t="s">
        <v>1482</v>
      </c>
      <c r="F138" s="52" t="s">
        <v>1478</v>
      </c>
      <c r="G138" s="52" t="s">
        <v>1471</v>
      </c>
      <c r="H138" s="52" t="s">
        <v>583</v>
      </c>
      <c r="I138" s="52" t="s">
        <v>1750</v>
      </c>
      <c r="J138" s="52">
        <v>16.0</v>
      </c>
      <c r="K138" s="52" t="s">
        <v>1473</v>
      </c>
      <c r="L138" s="52">
        <v>64.0</v>
      </c>
      <c r="M138" s="52">
        <v>32.0</v>
      </c>
      <c r="N138" s="52" t="s">
        <v>772</v>
      </c>
      <c r="O138" s="52" t="s">
        <v>1766</v>
      </c>
      <c r="P138" s="52" t="s">
        <v>587</v>
      </c>
      <c r="Q138" s="52" t="s">
        <v>1766</v>
      </c>
      <c r="S138" s="52">
        <v>8.55465E7</v>
      </c>
      <c r="T138" s="52">
        <v>17525.0</v>
      </c>
      <c r="U138" s="52">
        <v>19525.0</v>
      </c>
      <c r="V138" s="52" t="s">
        <v>53</v>
      </c>
      <c r="W138" s="69">
        <v>45694.0</v>
      </c>
      <c r="X138" s="70">
        <v>46021.0</v>
      </c>
      <c r="Z138" s="70">
        <v>46021.0</v>
      </c>
      <c r="AA138" s="52" t="s">
        <v>42</v>
      </c>
    </row>
    <row r="139">
      <c r="A139" s="52">
        <v>137.0</v>
      </c>
      <c r="B139" s="52" t="s">
        <v>776</v>
      </c>
      <c r="C139" s="52" t="s">
        <v>778</v>
      </c>
      <c r="D139" s="52" t="s">
        <v>1469</v>
      </c>
      <c r="E139" s="52" t="s">
        <v>1469</v>
      </c>
      <c r="F139" s="52" t="s">
        <v>1478</v>
      </c>
      <c r="G139" s="52" t="s">
        <v>1471</v>
      </c>
      <c r="H139" s="52" t="s">
        <v>583</v>
      </c>
      <c r="I139" s="52" t="s">
        <v>1750</v>
      </c>
      <c r="J139" s="52">
        <v>6.0</v>
      </c>
      <c r="K139" s="52" t="s">
        <v>1473</v>
      </c>
      <c r="L139" s="52">
        <v>34.0</v>
      </c>
      <c r="M139" s="52">
        <v>13.0</v>
      </c>
      <c r="N139" s="52" t="s">
        <v>777</v>
      </c>
      <c r="O139" s="52" t="s">
        <v>1767</v>
      </c>
      <c r="P139" s="52" t="s">
        <v>587</v>
      </c>
      <c r="Q139" s="52" t="s">
        <v>1767</v>
      </c>
      <c r="S139" s="52">
        <v>4.4E7</v>
      </c>
      <c r="T139" s="52">
        <v>21025.0</v>
      </c>
      <c r="U139" s="52">
        <v>15925.0</v>
      </c>
      <c r="V139" s="52" t="s">
        <v>367</v>
      </c>
      <c r="W139" s="69">
        <v>45688.0</v>
      </c>
      <c r="X139" s="70">
        <v>46020.0</v>
      </c>
      <c r="Z139" s="70">
        <v>46020.0</v>
      </c>
      <c r="AA139" s="52" t="s">
        <v>42</v>
      </c>
    </row>
    <row r="140">
      <c r="A140" s="52">
        <v>138.0</v>
      </c>
      <c r="B140" s="52" t="s">
        <v>782</v>
      </c>
      <c r="C140" s="52" t="s">
        <v>784</v>
      </c>
      <c r="D140" s="52" t="s">
        <v>1489</v>
      </c>
      <c r="E140" s="52" t="s">
        <v>1489</v>
      </c>
      <c r="F140" s="52" t="s">
        <v>1478</v>
      </c>
      <c r="G140" s="52" t="s">
        <v>1471</v>
      </c>
      <c r="H140" s="52" t="s">
        <v>781</v>
      </c>
      <c r="I140" s="52" t="s">
        <v>1768</v>
      </c>
      <c r="J140" s="52">
        <v>14.0</v>
      </c>
      <c r="K140" s="52" t="s">
        <v>1473</v>
      </c>
      <c r="L140" s="52">
        <v>11.0</v>
      </c>
      <c r="M140" s="52">
        <v>0.0</v>
      </c>
      <c r="N140" s="52" t="s">
        <v>783</v>
      </c>
      <c r="O140" s="52" t="s">
        <v>1769</v>
      </c>
      <c r="P140" s="52" t="s">
        <v>587</v>
      </c>
      <c r="Q140" s="52" t="s">
        <v>1769</v>
      </c>
      <c r="R140" s="52">
        <v>-363000.0</v>
      </c>
      <c r="S140" s="52">
        <v>3.993E7</v>
      </c>
      <c r="T140" s="52">
        <v>20825.0</v>
      </c>
      <c r="U140" s="52">
        <v>15525.0</v>
      </c>
      <c r="V140" s="52" t="s">
        <v>367</v>
      </c>
      <c r="W140" s="69">
        <v>45688.0</v>
      </c>
      <c r="X140" s="70">
        <v>46022.0</v>
      </c>
      <c r="Z140" s="70">
        <v>46022.0</v>
      </c>
      <c r="AA140" s="52" t="s">
        <v>42</v>
      </c>
    </row>
    <row r="141">
      <c r="A141" s="52">
        <v>139.0</v>
      </c>
      <c r="B141" s="52" t="s">
        <v>786</v>
      </c>
      <c r="C141" s="52" t="s">
        <v>788</v>
      </c>
      <c r="D141" s="52" t="s">
        <v>1489</v>
      </c>
      <c r="E141" s="52" t="s">
        <v>1489</v>
      </c>
      <c r="F141" s="52" t="s">
        <v>1478</v>
      </c>
      <c r="G141" s="52" t="s">
        <v>1471</v>
      </c>
      <c r="H141" s="52" t="s">
        <v>583</v>
      </c>
      <c r="I141" s="52" t="s">
        <v>1770</v>
      </c>
      <c r="J141" s="52">
        <v>17.0</v>
      </c>
      <c r="K141" s="52" t="s">
        <v>1473</v>
      </c>
      <c r="L141" s="52">
        <v>85.0</v>
      </c>
      <c r="M141" s="52">
        <v>68.0</v>
      </c>
      <c r="N141" s="52" t="s">
        <v>787</v>
      </c>
      <c r="O141" s="52" t="s">
        <v>1771</v>
      </c>
      <c r="P141" s="52" t="s">
        <v>587</v>
      </c>
      <c r="Q141" s="52" t="s">
        <v>1771</v>
      </c>
      <c r="R141" s="72">
        <v>-1066666.67</v>
      </c>
      <c r="S141" s="52">
        <v>8.693333333E7</v>
      </c>
      <c r="T141" s="52">
        <v>20625.0</v>
      </c>
      <c r="U141" s="52">
        <v>17725.0</v>
      </c>
      <c r="V141" s="52" t="s">
        <v>67</v>
      </c>
      <c r="W141" s="69">
        <v>45693.0</v>
      </c>
      <c r="X141" s="70">
        <v>46022.0</v>
      </c>
      <c r="Z141" s="70">
        <v>46022.0</v>
      </c>
      <c r="AA141" s="52" t="s">
        <v>42</v>
      </c>
    </row>
    <row r="142">
      <c r="A142" s="52">
        <v>140.0</v>
      </c>
      <c r="B142" s="52" t="s">
        <v>791</v>
      </c>
      <c r="C142" s="52" t="s">
        <v>793</v>
      </c>
      <c r="D142" s="52" t="s">
        <v>1489</v>
      </c>
      <c r="E142" s="52" t="s">
        <v>1489</v>
      </c>
      <c r="F142" s="52" t="s">
        <v>1478</v>
      </c>
      <c r="G142" s="52" t="s">
        <v>1471</v>
      </c>
      <c r="H142" s="52" t="s">
        <v>583</v>
      </c>
      <c r="I142" s="52" t="s">
        <v>1625</v>
      </c>
      <c r="J142" s="52">
        <v>17.0</v>
      </c>
      <c r="K142" s="52" t="s">
        <v>1473</v>
      </c>
      <c r="L142" s="52">
        <v>31.0</v>
      </c>
      <c r="M142" s="52">
        <v>19.0</v>
      </c>
      <c r="N142" s="52" t="s">
        <v>792</v>
      </c>
      <c r="O142" s="52" t="s">
        <v>1771</v>
      </c>
      <c r="P142" s="52" t="s">
        <v>587</v>
      </c>
      <c r="Q142" s="52" t="s">
        <v>1771</v>
      </c>
      <c r="S142" s="52">
        <v>8.8E7</v>
      </c>
      <c r="T142" s="52">
        <v>20725.0</v>
      </c>
      <c r="U142" s="52">
        <v>15825.0</v>
      </c>
      <c r="V142" s="52" t="s">
        <v>67</v>
      </c>
      <c r="W142" s="69">
        <v>45688.0</v>
      </c>
      <c r="X142" s="70">
        <v>46020.0</v>
      </c>
      <c r="Z142" s="70">
        <v>46020.0</v>
      </c>
      <c r="AA142" s="52" t="s">
        <v>42</v>
      </c>
    </row>
    <row r="143">
      <c r="A143" s="52">
        <v>141.0</v>
      </c>
      <c r="B143" s="52" t="s">
        <v>796</v>
      </c>
      <c r="C143" s="52" t="s">
        <v>798</v>
      </c>
      <c r="D143" s="52" t="s">
        <v>1482</v>
      </c>
      <c r="E143" s="52" t="s">
        <v>1482</v>
      </c>
      <c r="F143" s="52" t="s">
        <v>1478</v>
      </c>
      <c r="G143" s="52" t="s">
        <v>1471</v>
      </c>
      <c r="H143" s="52" t="s">
        <v>583</v>
      </c>
      <c r="I143" s="52" t="s">
        <v>1772</v>
      </c>
      <c r="J143" s="52">
        <v>16.0</v>
      </c>
      <c r="K143" s="52" t="s">
        <v>1473</v>
      </c>
      <c r="L143" s="52">
        <v>40.0</v>
      </c>
      <c r="M143" s="52">
        <v>40.0</v>
      </c>
      <c r="N143" s="52" t="s">
        <v>797</v>
      </c>
      <c r="O143" s="52" t="s">
        <v>1773</v>
      </c>
      <c r="P143" s="52" t="s">
        <v>587</v>
      </c>
      <c r="Q143" s="52" t="s">
        <v>1773</v>
      </c>
      <c r="R143" s="72">
        <v>-52880.0</v>
      </c>
      <c r="S143" s="52">
        <v>8.733616E7</v>
      </c>
      <c r="T143" s="52">
        <v>17625.0</v>
      </c>
      <c r="U143" s="52">
        <v>16525.0</v>
      </c>
      <c r="V143" s="52" t="s">
        <v>53</v>
      </c>
      <c r="W143" s="69">
        <v>45691.0</v>
      </c>
      <c r="X143" s="70">
        <v>46022.0</v>
      </c>
      <c r="Z143" s="70">
        <v>46022.0</v>
      </c>
      <c r="AA143" s="52" t="s">
        <v>42</v>
      </c>
    </row>
    <row r="144">
      <c r="A144" s="52">
        <v>142.0</v>
      </c>
      <c r="B144" s="52" t="s">
        <v>800</v>
      </c>
      <c r="C144" s="52" t="s">
        <v>802</v>
      </c>
      <c r="D144" s="52" t="s">
        <v>1482</v>
      </c>
      <c r="E144" s="52" t="s">
        <v>1482</v>
      </c>
      <c r="F144" s="52" t="s">
        <v>1478</v>
      </c>
      <c r="G144" s="52" t="s">
        <v>1471</v>
      </c>
      <c r="H144" s="52" t="s">
        <v>583</v>
      </c>
      <c r="I144" s="52" t="s">
        <v>1750</v>
      </c>
      <c r="J144" s="52">
        <v>16.0</v>
      </c>
      <c r="K144" s="52" t="s">
        <v>1473</v>
      </c>
      <c r="L144" s="52">
        <v>42.0</v>
      </c>
      <c r="M144" s="52">
        <v>42.0</v>
      </c>
      <c r="N144" s="52" t="s">
        <v>801</v>
      </c>
      <c r="O144" s="52" t="s">
        <v>1773</v>
      </c>
      <c r="P144" s="52" t="s">
        <v>587</v>
      </c>
      <c r="Q144" s="52" t="s">
        <v>1773</v>
      </c>
      <c r="R144" s="71">
        <v>-52880.0</v>
      </c>
      <c r="S144" s="52">
        <v>8.733616E7</v>
      </c>
      <c r="T144" s="52">
        <v>17425.0</v>
      </c>
      <c r="U144" s="52">
        <v>16425.0</v>
      </c>
      <c r="V144" s="52" t="s">
        <v>53</v>
      </c>
      <c r="W144" s="69">
        <v>45691.0</v>
      </c>
      <c r="X144" s="70">
        <v>46022.0</v>
      </c>
      <c r="Z144" s="70">
        <v>46022.0</v>
      </c>
      <c r="AA144" s="52" t="s">
        <v>42</v>
      </c>
    </row>
    <row r="145">
      <c r="A145" s="52">
        <v>143.0</v>
      </c>
      <c r="B145" s="52" t="s">
        <v>803</v>
      </c>
      <c r="C145" s="52" t="s">
        <v>805</v>
      </c>
      <c r="D145" s="52" t="s">
        <v>1482</v>
      </c>
      <c r="E145" s="52" t="s">
        <v>1482</v>
      </c>
      <c r="F145" s="52" t="s">
        <v>1478</v>
      </c>
      <c r="G145" s="52" t="s">
        <v>1471</v>
      </c>
      <c r="H145" s="52" t="s">
        <v>781</v>
      </c>
      <c r="I145" s="52" t="s">
        <v>1553</v>
      </c>
      <c r="J145" s="52">
        <v>14.0</v>
      </c>
      <c r="K145" s="52" t="s">
        <v>1483</v>
      </c>
      <c r="L145" s="52">
        <v>27.0</v>
      </c>
      <c r="M145" s="52">
        <v>27.0</v>
      </c>
      <c r="N145" s="52" t="s">
        <v>804</v>
      </c>
      <c r="O145" s="52" t="s">
        <v>1774</v>
      </c>
      <c r="P145" s="52" t="s">
        <v>587</v>
      </c>
      <c r="Q145" s="52" t="s">
        <v>1774</v>
      </c>
      <c r="R145" s="71">
        <v>-239767.0</v>
      </c>
      <c r="S145" s="52">
        <v>3.95615E7</v>
      </c>
      <c r="T145" s="52">
        <v>17325.0</v>
      </c>
      <c r="U145" s="52">
        <v>16225.0</v>
      </c>
      <c r="V145" s="52" t="s">
        <v>53</v>
      </c>
      <c r="W145" s="69">
        <v>45688.0</v>
      </c>
      <c r="X145" s="70">
        <v>46022.0</v>
      </c>
      <c r="Z145" s="70">
        <v>46022.0</v>
      </c>
      <c r="AA145" s="52" t="s">
        <v>42</v>
      </c>
    </row>
    <row r="146">
      <c r="A146" s="52">
        <v>144.0</v>
      </c>
      <c r="B146" s="52" t="s">
        <v>807</v>
      </c>
      <c r="C146" s="52" t="s">
        <v>809</v>
      </c>
      <c r="D146" s="52" t="s">
        <v>1705</v>
      </c>
      <c r="E146" s="52" t="s">
        <v>1482</v>
      </c>
      <c r="F146" s="52" t="s">
        <v>1478</v>
      </c>
      <c r="G146" s="52" t="s">
        <v>1471</v>
      </c>
      <c r="H146" s="52" t="s">
        <v>583</v>
      </c>
      <c r="I146" s="52" t="s">
        <v>1479</v>
      </c>
      <c r="J146" s="52">
        <v>15.0</v>
      </c>
      <c r="K146" s="52" t="s">
        <v>1473</v>
      </c>
      <c r="L146" s="52">
        <v>49.0</v>
      </c>
      <c r="M146" s="52">
        <v>36.0</v>
      </c>
      <c r="N146" s="52" t="s">
        <v>808</v>
      </c>
      <c r="O146" s="52" t="s">
        <v>1775</v>
      </c>
      <c r="P146" s="52" t="s">
        <v>587</v>
      </c>
      <c r="Q146" s="52" t="s">
        <v>1775</v>
      </c>
      <c r="S146" s="52">
        <v>5.67E7</v>
      </c>
      <c r="T146" s="52">
        <v>19925.0</v>
      </c>
      <c r="U146" s="52">
        <v>16125.0</v>
      </c>
      <c r="V146" s="52" t="s">
        <v>53</v>
      </c>
      <c r="W146" s="69">
        <v>45688.0</v>
      </c>
      <c r="X146" s="70">
        <v>45930.0</v>
      </c>
      <c r="Z146" s="70">
        <v>45930.0</v>
      </c>
      <c r="AA146" s="52" t="s">
        <v>42</v>
      </c>
    </row>
    <row r="147">
      <c r="A147" s="52">
        <v>145.0</v>
      </c>
      <c r="B147" s="52" t="s">
        <v>811</v>
      </c>
      <c r="C147" s="52" t="s">
        <v>813</v>
      </c>
      <c r="D147" s="52" t="s">
        <v>1705</v>
      </c>
      <c r="E147" s="52" t="s">
        <v>1482</v>
      </c>
      <c r="F147" s="52" t="s">
        <v>1478</v>
      </c>
      <c r="G147" s="52" t="s">
        <v>1471</v>
      </c>
      <c r="H147" s="52" t="s">
        <v>583</v>
      </c>
      <c r="I147" s="52" t="s">
        <v>1472</v>
      </c>
      <c r="J147" s="52">
        <v>17.0</v>
      </c>
      <c r="K147" s="52" t="s">
        <v>1473</v>
      </c>
      <c r="L147" s="52">
        <v>76.0</v>
      </c>
      <c r="M147" s="52">
        <v>32.0</v>
      </c>
      <c r="N147" s="52" t="s">
        <v>812</v>
      </c>
      <c r="O147" s="52" t="s">
        <v>1776</v>
      </c>
      <c r="P147" s="52" t="s">
        <v>587</v>
      </c>
      <c r="Q147" s="52" t="s">
        <v>1776</v>
      </c>
      <c r="S147" s="52">
        <v>9.1014E7</v>
      </c>
      <c r="T147" s="52">
        <v>20025.0</v>
      </c>
      <c r="U147" s="52">
        <v>16325.0</v>
      </c>
      <c r="V147" s="52" t="s">
        <v>53</v>
      </c>
      <c r="W147" s="69">
        <v>45688.0</v>
      </c>
      <c r="X147" s="70">
        <v>46021.0</v>
      </c>
      <c r="Z147" s="70">
        <v>46021.0</v>
      </c>
      <c r="AA147" s="52" t="s">
        <v>42</v>
      </c>
    </row>
    <row r="148">
      <c r="A148" s="52">
        <v>146.0</v>
      </c>
      <c r="B148" s="52" t="s">
        <v>815</v>
      </c>
      <c r="C148" s="52" t="s">
        <v>817</v>
      </c>
      <c r="D148" s="52" t="s">
        <v>1705</v>
      </c>
      <c r="E148" s="52" t="s">
        <v>1497</v>
      </c>
      <c r="F148" s="52" t="s">
        <v>1478</v>
      </c>
      <c r="G148" s="52" t="s">
        <v>1471</v>
      </c>
      <c r="H148" s="52" t="s">
        <v>583</v>
      </c>
      <c r="I148" s="52" t="s">
        <v>1472</v>
      </c>
      <c r="J148" s="52">
        <v>15.0</v>
      </c>
      <c r="K148" s="52" t="s">
        <v>1473</v>
      </c>
      <c r="L148" s="52">
        <v>75.0</v>
      </c>
      <c r="M148" s="52">
        <v>15.0</v>
      </c>
      <c r="N148" s="52" t="s">
        <v>816</v>
      </c>
      <c r="O148" s="52" t="s">
        <v>1777</v>
      </c>
      <c r="P148" s="52" t="s">
        <v>587</v>
      </c>
      <c r="Q148" s="52" t="s">
        <v>1777</v>
      </c>
      <c r="S148" s="52">
        <v>6.58E7</v>
      </c>
      <c r="T148" s="52">
        <v>14525.0</v>
      </c>
      <c r="U148" s="52">
        <v>19325.0</v>
      </c>
      <c r="V148" s="52" t="s">
        <v>77</v>
      </c>
      <c r="W148" s="69">
        <v>45694.0</v>
      </c>
      <c r="X148" s="70">
        <v>45978.0</v>
      </c>
      <c r="Z148" s="70">
        <v>45978.0</v>
      </c>
      <c r="AA148" s="52" t="s">
        <v>42</v>
      </c>
    </row>
    <row r="149">
      <c r="A149" s="52">
        <v>147.0</v>
      </c>
      <c r="B149" s="52" t="s">
        <v>819</v>
      </c>
      <c r="C149" s="52" t="s">
        <v>821</v>
      </c>
      <c r="D149" s="52" t="s">
        <v>176</v>
      </c>
      <c r="E149" s="52" t="s">
        <v>1520</v>
      </c>
      <c r="F149" s="52" t="s">
        <v>1478</v>
      </c>
      <c r="G149" s="52" t="s">
        <v>1471</v>
      </c>
      <c r="H149" s="52" t="s">
        <v>583</v>
      </c>
      <c r="I149" s="52" t="s">
        <v>1479</v>
      </c>
      <c r="J149" s="52">
        <v>16.0</v>
      </c>
      <c r="K149" s="52" t="s">
        <v>1473</v>
      </c>
      <c r="L149" s="52">
        <v>34.0</v>
      </c>
      <c r="M149" s="52">
        <v>22.0</v>
      </c>
      <c r="N149" s="52" t="s">
        <v>820</v>
      </c>
      <c r="O149" s="52" t="s">
        <v>1664</v>
      </c>
      <c r="P149" s="52" t="s">
        <v>587</v>
      </c>
      <c r="Q149" s="52" t="s">
        <v>1664</v>
      </c>
      <c r="S149" s="52">
        <v>7.5E7</v>
      </c>
      <c r="T149" s="52">
        <v>16525.0</v>
      </c>
      <c r="U149" s="52">
        <v>18625.0</v>
      </c>
      <c r="V149" s="52" t="s">
        <v>152</v>
      </c>
      <c r="W149" s="69">
        <v>45693.0</v>
      </c>
      <c r="X149" s="70">
        <v>45995.0</v>
      </c>
      <c r="Z149" s="70">
        <v>45995.0</v>
      </c>
      <c r="AA149" s="52" t="s">
        <v>42</v>
      </c>
    </row>
    <row r="150">
      <c r="A150" s="52">
        <v>148.0</v>
      </c>
      <c r="B150" s="52" t="s">
        <v>823</v>
      </c>
      <c r="C150" s="52" t="s">
        <v>825</v>
      </c>
      <c r="D150" s="52" t="s">
        <v>1489</v>
      </c>
      <c r="E150" s="52" t="s">
        <v>1489</v>
      </c>
      <c r="F150" s="52" t="s">
        <v>1478</v>
      </c>
      <c r="G150" s="52" t="s">
        <v>1471</v>
      </c>
      <c r="H150" s="52" t="s">
        <v>583</v>
      </c>
      <c r="I150" s="52" t="s">
        <v>1778</v>
      </c>
      <c r="J150" s="52">
        <v>14.0</v>
      </c>
      <c r="K150" s="52" t="s">
        <v>1473</v>
      </c>
      <c r="L150" s="52">
        <v>62.0</v>
      </c>
      <c r="M150" s="52">
        <v>13.0</v>
      </c>
      <c r="N150" s="52" t="s">
        <v>824</v>
      </c>
      <c r="O150" s="52" t="s">
        <v>1779</v>
      </c>
      <c r="P150" s="52" t="s">
        <v>587</v>
      </c>
      <c r="Q150" s="52" t="s">
        <v>1779</v>
      </c>
      <c r="R150" s="72">
        <v>-600000.0</v>
      </c>
      <c r="S150" s="52">
        <v>6.54E7</v>
      </c>
      <c r="T150" s="52">
        <v>21125.0</v>
      </c>
      <c r="U150" s="52">
        <v>17525.0</v>
      </c>
      <c r="V150" s="52" t="s">
        <v>374</v>
      </c>
      <c r="W150" s="69">
        <v>45692.0</v>
      </c>
      <c r="X150" s="70">
        <v>46022.0</v>
      </c>
      <c r="Z150" s="70">
        <v>46022.0</v>
      </c>
      <c r="AA150" s="52" t="s">
        <v>42</v>
      </c>
    </row>
    <row r="151">
      <c r="A151" s="52">
        <v>149.0</v>
      </c>
      <c r="B151" s="52" t="s">
        <v>827</v>
      </c>
      <c r="C151" s="52" t="s">
        <v>829</v>
      </c>
      <c r="D151" s="52" t="s">
        <v>1489</v>
      </c>
      <c r="E151" s="52" t="s">
        <v>1489</v>
      </c>
      <c r="F151" s="52" t="s">
        <v>1478</v>
      </c>
      <c r="G151" s="52" t="s">
        <v>1471</v>
      </c>
      <c r="H151" s="52" t="s">
        <v>583</v>
      </c>
      <c r="I151" s="52" t="s">
        <v>1584</v>
      </c>
      <c r="J151" s="52">
        <v>24.0</v>
      </c>
      <c r="K151" s="52" t="s">
        <v>1473</v>
      </c>
      <c r="L151" s="52">
        <v>59.0</v>
      </c>
      <c r="M151" s="52">
        <v>50.0</v>
      </c>
      <c r="N151" s="52" t="s">
        <v>828</v>
      </c>
      <c r="O151" s="52" t="s">
        <v>1780</v>
      </c>
      <c r="P151" s="52" t="s">
        <v>587</v>
      </c>
      <c r="Q151" s="52" t="s">
        <v>1780</v>
      </c>
      <c r="S151" s="52">
        <v>1.44733333E8</v>
      </c>
      <c r="T151" s="52">
        <v>19325.0</v>
      </c>
      <c r="U151" s="52">
        <v>18025.0</v>
      </c>
      <c r="V151" s="52" t="s">
        <v>830</v>
      </c>
      <c r="W151" s="69">
        <v>45705.0</v>
      </c>
      <c r="X151" s="70">
        <v>46022.0</v>
      </c>
      <c r="Z151" s="70">
        <v>46022.0</v>
      </c>
      <c r="AA151" s="52" t="s">
        <v>42</v>
      </c>
    </row>
    <row r="152">
      <c r="A152" s="52">
        <v>150.0</v>
      </c>
      <c r="B152" s="52" t="s">
        <v>832</v>
      </c>
      <c r="C152" s="52" t="s">
        <v>834</v>
      </c>
      <c r="D152" s="52" t="s">
        <v>1489</v>
      </c>
      <c r="E152" s="52" t="s">
        <v>1489</v>
      </c>
      <c r="F152" s="52" t="s">
        <v>1478</v>
      </c>
      <c r="G152" s="52" t="s">
        <v>1471</v>
      </c>
      <c r="H152" s="52" t="s">
        <v>781</v>
      </c>
      <c r="I152" s="52" t="s">
        <v>1781</v>
      </c>
      <c r="J152" s="52">
        <v>13.0</v>
      </c>
      <c r="K152" s="52" t="s">
        <v>1473</v>
      </c>
      <c r="L152" s="52">
        <v>6.0</v>
      </c>
      <c r="M152" s="52">
        <v>0.0</v>
      </c>
      <c r="N152" s="52" t="s">
        <v>833</v>
      </c>
      <c r="O152" s="52" t="s">
        <v>1782</v>
      </c>
      <c r="P152" s="52" t="s">
        <v>1783</v>
      </c>
      <c r="Q152" s="52" t="s">
        <v>1784</v>
      </c>
      <c r="R152" s="72">
        <v>-658000.0</v>
      </c>
      <c r="S152" s="52">
        <v>4.0761E7</v>
      </c>
      <c r="T152" s="52">
        <v>20925.0</v>
      </c>
      <c r="U152" s="52">
        <v>17425.0</v>
      </c>
      <c r="V152" s="52" t="s">
        <v>374</v>
      </c>
      <c r="W152" s="69">
        <v>45692.0</v>
      </c>
      <c r="X152" s="70">
        <v>46022.0</v>
      </c>
      <c r="Z152" s="70">
        <v>46022.0</v>
      </c>
      <c r="AA152" s="52" t="s">
        <v>42</v>
      </c>
    </row>
    <row r="153">
      <c r="A153" s="52">
        <v>151.0</v>
      </c>
      <c r="B153" s="52" t="s">
        <v>1785</v>
      </c>
      <c r="C153" s="52" t="s">
        <v>838</v>
      </c>
      <c r="D153" s="52" t="s">
        <v>1469</v>
      </c>
      <c r="E153" s="52" t="s">
        <v>1469</v>
      </c>
      <c r="F153" s="52" t="s">
        <v>1470</v>
      </c>
      <c r="G153" s="52" t="s">
        <v>1471</v>
      </c>
      <c r="H153" s="52" t="s">
        <v>583</v>
      </c>
      <c r="I153" s="52" t="s">
        <v>1479</v>
      </c>
      <c r="J153" s="52">
        <v>19.0</v>
      </c>
      <c r="K153" s="52" t="s">
        <v>1473</v>
      </c>
      <c r="L153" s="52">
        <v>66.0</v>
      </c>
      <c r="M153" s="52">
        <v>66.0</v>
      </c>
      <c r="N153" s="52" t="s">
        <v>837</v>
      </c>
      <c r="O153" s="52" t="s">
        <v>1786</v>
      </c>
      <c r="P153" s="52" t="s">
        <v>587</v>
      </c>
      <c r="Q153" s="52" t="s">
        <v>1786</v>
      </c>
      <c r="S153" s="52">
        <v>1.012E8</v>
      </c>
      <c r="T153" s="52">
        <v>19425.0</v>
      </c>
      <c r="U153" s="52">
        <v>18425.0</v>
      </c>
      <c r="V153" s="52" t="s">
        <v>38</v>
      </c>
      <c r="W153" s="69">
        <v>45692.0</v>
      </c>
      <c r="X153" s="70">
        <v>46022.0</v>
      </c>
      <c r="Z153" s="70">
        <v>46022.0</v>
      </c>
      <c r="AA153" s="52" t="s">
        <v>42</v>
      </c>
    </row>
    <row r="154">
      <c r="A154" s="52">
        <v>152.0</v>
      </c>
      <c r="B154" s="52" t="s">
        <v>840</v>
      </c>
      <c r="C154" s="52" t="s">
        <v>842</v>
      </c>
      <c r="D154" s="52" t="s">
        <v>1469</v>
      </c>
      <c r="E154" s="52" t="s">
        <v>1469</v>
      </c>
      <c r="F154" s="52" t="s">
        <v>1470</v>
      </c>
      <c r="G154" s="52" t="s">
        <v>1471</v>
      </c>
      <c r="H154" s="52" t="s">
        <v>583</v>
      </c>
      <c r="I154" s="52" t="s">
        <v>1744</v>
      </c>
      <c r="J154" s="52">
        <v>2.0</v>
      </c>
      <c r="K154" s="52" t="s">
        <v>1483</v>
      </c>
      <c r="L154" s="52">
        <v>6.0</v>
      </c>
      <c r="M154" s="52">
        <v>6.0</v>
      </c>
      <c r="N154" s="52" t="s">
        <v>841</v>
      </c>
      <c r="O154" s="52" t="s">
        <v>1537</v>
      </c>
      <c r="P154" s="52" t="s">
        <v>587</v>
      </c>
      <c r="Q154" s="52" t="s">
        <v>1537</v>
      </c>
      <c r="R154" s="72">
        <v>-328545.0</v>
      </c>
      <c r="S154" s="52">
        <v>3.5811405E7</v>
      </c>
      <c r="T154" s="52">
        <v>21725.0</v>
      </c>
      <c r="U154" s="52">
        <v>17125.0</v>
      </c>
      <c r="V154" s="52" t="s">
        <v>91</v>
      </c>
      <c r="W154" s="69">
        <v>45692.0</v>
      </c>
      <c r="X154" s="70">
        <v>46022.0</v>
      </c>
      <c r="Z154" s="70">
        <v>46022.0</v>
      </c>
      <c r="AA154" s="52" t="s">
        <v>42</v>
      </c>
    </row>
    <row r="155">
      <c r="A155" s="52">
        <v>153.0</v>
      </c>
      <c r="B155" s="52" t="s">
        <v>844</v>
      </c>
      <c r="C155" s="52" t="s">
        <v>846</v>
      </c>
      <c r="D155" s="52" t="s">
        <v>1719</v>
      </c>
      <c r="E155" s="52" t="s">
        <v>1469</v>
      </c>
      <c r="F155" s="52" t="s">
        <v>1470</v>
      </c>
      <c r="G155" s="52" t="s">
        <v>1471</v>
      </c>
      <c r="H155" s="52" t="s">
        <v>583</v>
      </c>
      <c r="I155" s="52" t="s">
        <v>1504</v>
      </c>
      <c r="J155" s="52">
        <v>2.0</v>
      </c>
      <c r="K155" s="52" t="s">
        <v>1483</v>
      </c>
      <c r="L155" s="52">
        <v>0.0</v>
      </c>
      <c r="M155" s="52" t="s">
        <v>39</v>
      </c>
      <c r="N155" s="52" t="s">
        <v>845</v>
      </c>
      <c r="O155" s="52" t="s">
        <v>1787</v>
      </c>
      <c r="P155" s="52" t="s">
        <v>587</v>
      </c>
      <c r="Q155" s="52" t="s">
        <v>1787</v>
      </c>
      <c r="S155" s="52">
        <v>3.4497225E7</v>
      </c>
      <c r="T155" s="52">
        <v>20425.0</v>
      </c>
      <c r="U155" s="52">
        <v>17025.0</v>
      </c>
      <c r="V155" s="52" t="s">
        <v>91</v>
      </c>
      <c r="W155" s="69">
        <v>45692.0</v>
      </c>
      <c r="X155" s="70">
        <v>46009.0</v>
      </c>
      <c r="Z155" s="70">
        <v>46009.0</v>
      </c>
      <c r="AA155" s="52" t="s">
        <v>42</v>
      </c>
    </row>
    <row r="156">
      <c r="A156" s="52">
        <v>154.0</v>
      </c>
      <c r="B156" s="52" t="s">
        <v>850</v>
      </c>
      <c r="C156" s="52" t="s">
        <v>852</v>
      </c>
      <c r="D156" s="52" t="s">
        <v>1788</v>
      </c>
      <c r="E156" s="52" t="s">
        <v>1469</v>
      </c>
      <c r="F156" s="52" t="s">
        <v>1470</v>
      </c>
      <c r="G156" s="52" t="s">
        <v>1471</v>
      </c>
      <c r="H156" s="52" t="s">
        <v>781</v>
      </c>
      <c r="I156" s="52" t="s">
        <v>1789</v>
      </c>
      <c r="J156" s="52">
        <v>14.0</v>
      </c>
      <c r="K156" s="52" t="s">
        <v>1483</v>
      </c>
      <c r="L156" s="52">
        <v>86.0</v>
      </c>
      <c r="M156" s="52">
        <v>86.0</v>
      </c>
      <c r="N156" s="52" t="s">
        <v>851</v>
      </c>
      <c r="O156" s="52" t="s">
        <v>1790</v>
      </c>
      <c r="P156" s="52" t="s">
        <v>587</v>
      </c>
      <c r="Q156" s="52" t="s">
        <v>1790</v>
      </c>
      <c r="S156" s="52">
        <v>3.5028E7</v>
      </c>
      <c r="T156" s="52">
        <v>21425.0</v>
      </c>
      <c r="U156" s="52">
        <v>19125.0</v>
      </c>
      <c r="V156" s="52" t="s">
        <v>91</v>
      </c>
      <c r="W156" s="69">
        <v>45693.0</v>
      </c>
      <c r="X156" s="70">
        <v>45995.0</v>
      </c>
      <c r="Z156" s="70">
        <v>45995.0</v>
      </c>
      <c r="AA156" s="52" t="s">
        <v>42</v>
      </c>
    </row>
    <row r="157">
      <c r="A157" s="52">
        <v>155.0</v>
      </c>
      <c r="B157" s="52" t="s">
        <v>855</v>
      </c>
      <c r="C157" s="52" t="s">
        <v>857</v>
      </c>
      <c r="D157" s="52" t="s">
        <v>1788</v>
      </c>
      <c r="E157" s="52" t="s">
        <v>1477</v>
      </c>
      <c r="F157" s="52" t="s">
        <v>1470</v>
      </c>
      <c r="G157" s="52" t="s">
        <v>1555</v>
      </c>
      <c r="H157" s="52" t="s">
        <v>1030</v>
      </c>
      <c r="I157" s="52" t="s">
        <v>1556</v>
      </c>
      <c r="J157" s="52" t="s">
        <v>1556</v>
      </c>
      <c r="K157" s="52" t="s">
        <v>1556</v>
      </c>
      <c r="L157" s="52" t="s">
        <v>1556</v>
      </c>
      <c r="N157" s="52" t="s">
        <v>856</v>
      </c>
      <c r="O157" s="52">
        <v>3090000.0</v>
      </c>
      <c r="P157" s="52" t="s">
        <v>587</v>
      </c>
      <c r="Q157" s="52">
        <v>3090000.0</v>
      </c>
      <c r="S157" s="52">
        <v>3090000.0</v>
      </c>
      <c r="T157" s="52">
        <v>21525.0</v>
      </c>
      <c r="U157" s="52">
        <v>18825.0</v>
      </c>
      <c r="V157" s="52" t="s">
        <v>858</v>
      </c>
      <c r="W157" s="69">
        <v>45695.0</v>
      </c>
      <c r="X157" s="70">
        <v>46022.0</v>
      </c>
      <c r="Z157" s="70">
        <v>46022.0</v>
      </c>
      <c r="AA157" s="52" t="s">
        <v>42</v>
      </c>
    </row>
    <row r="158">
      <c r="A158" s="52">
        <v>156.0</v>
      </c>
      <c r="B158" s="52" t="s">
        <v>860</v>
      </c>
      <c r="C158" s="52" t="s">
        <v>862</v>
      </c>
      <c r="D158" s="52" t="s">
        <v>1469</v>
      </c>
      <c r="E158" s="52" t="s">
        <v>1469</v>
      </c>
      <c r="F158" s="52" t="s">
        <v>1470</v>
      </c>
      <c r="G158" s="52" t="s">
        <v>1471</v>
      </c>
      <c r="H158" s="52" t="s">
        <v>583</v>
      </c>
      <c r="I158" s="52" t="s">
        <v>1570</v>
      </c>
      <c r="J158" s="52">
        <v>2.0</v>
      </c>
      <c r="K158" s="52" t="s">
        <v>1483</v>
      </c>
      <c r="L158" s="52">
        <v>0.0</v>
      </c>
      <c r="M158" s="52" t="s">
        <v>39</v>
      </c>
      <c r="N158" s="52" t="s">
        <v>861</v>
      </c>
      <c r="O158" s="52" t="s">
        <v>1537</v>
      </c>
      <c r="P158" s="52" t="s">
        <v>587</v>
      </c>
      <c r="Q158" s="52" t="s">
        <v>1537</v>
      </c>
      <c r="R158" s="72">
        <v>-328545.0</v>
      </c>
      <c r="S158" s="52">
        <v>3.5811405E7</v>
      </c>
      <c r="T158" s="52">
        <v>19725.0</v>
      </c>
      <c r="U158" s="52">
        <v>17625.0</v>
      </c>
      <c r="V158" s="52" t="s">
        <v>91</v>
      </c>
      <c r="W158" s="69">
        <v>45692.0</v>
      </c>
      <c r="X158" s="70">
        <v>46022.0</v>
      </c>
      <c r="Z158" s="70">
        <v>46022.0</v>
      </c>
      <c r="AA158" s="52" t="s">
        <v>42</v>
      </c>
    </row>
    <row r="159">
      <c r="A159" s="52">
        <v>157.0</v>
      </c>
      <c r="B159" s="52" t="s">
        <v>863</v>
      </c>
      <c r="C159" s="52" t="s">
        <v>864</v>
      </c>
      <c r="D159" s="52" t="s">
        <v>1469</v>
      </c>
      <c r="E159" s="52" t="s">
        <v>1469</v>
      </c>
      <c r="F159" s="52" t="s">
        <v>1470</v>
      </c>
      <c r="G159" s="52" t="s">
        <v>1471</v>
      </c>
      <c r="H159" s="52" t="s">
        <v>1030</v>
      </c>
      <c r="I159" s="52" t="s">
        <v>1526</v>
      </c>
      <c r="J159" s="52">
        <v>2.0</v>
      </c>
      <c r="K159" s="52" t="s">
        <v>1483</v>
      </c>
      <c r="L159" s="52">
        <v>0.0</v>
      </c>
      <c r="M159" s="52" t="s">
        <v>39</v>
      </c>
      <c r="N159" s="52" t="s">
        <v>861</v>
      </c>
      <c r="O159" s="52" t="s">
        <v>1537</v>
      </c>
      <c r="P159" s="52" t="s">
        <v>587</v>
      </c>
      <c r="Q159" s="52" t="s">
        <v>1537</v>
      </c>
      <c r="R159" s="71">
        <v>-438060.0</v>
      </c>
      <c r="S159" s="52">
        <v>3.570189E7</v>
      </c>
      <c r="T159" s="52">
        <v>19625.0</v>
      </c>
      <c r="U159" s="52">
        <v>18225.0</v>
      </c>
      <c r="V159" s="52" t="s">
        <v>91</v>
      </c>
      <c r="W159" s="69">
        <v>45693.0</v>
      </c>
      <c r="X159" s="70">
        <v>46022.0</v>
      </c>
      <c r="Z159" s="70">
        <v>46022.0</v>
      </c>
      <c r="AA159" s="52" t="s">
        <v>42</v>
      </c>
    </row>
    <row r="160">
      <c r="A160" s="52">
        <v>158.0</v>
      </c>
      <c r="B160" s="52" t="s">
        <v>866</v>
      </c>
      <c r="C160" s="52" t="s">
        <v>868</v>
      </c>
      <c r="D160" s="52" t="s">
        <v>1482</v>
      </c>
      <c r="E160" s="52" t="s">
        <v>1482</v>
      </c>
      <c r="F160" s="52" t="s">
        <v>1478</v>
      </c>
      <c r="G160" s="52" t="s">
        <v>1471</v>
      </c>
      <c r="H160" s="52" t="s">
        <v>1030</v>
      </c>
      <c r="I160" s="52" t="s">
        <v>1526</v>
      </c>
      <c r="J160" s="52">
        <v>4.0</v>
      </c>
      <c r="K160" s="52" t="s">
        <v>1483</v>
      </c>
      <c r="L160" s="52">
        <v>24.0</v>
      </c>
      <c r="M160" s="52">
        <v>10.0</v>
      </c>
      <c r="N160" s="52" t="s">
        <v>867</v>
      </c>
      <c r="O160" s="52" t="s">
        <v>1791</v>
      </c>
      <c r="P160" s="52" t="s">
        <v>587</v>
      </c>
      <c r="Q160" s="52" t="s">
        <v>1791</v>
      </c>
      <c r="R160" s="72">
        <v>-375850.0</v>
      </c>
      <c r="S160" s="52">
        <v>4.096765E7</v>
      </c>
      <c r="T160" s="52">
        <v>17725.0</v>
      </c>
      <c r="U160" s="52">
        <v>17325.0</v>
      </c>
      <c r="V160" s="52" t="s">
        <v>53</v>
      </c>
      <c r="W160" s="69">
        <v>45692.0</v>
      </c>
      <c r="X160" s="70">
        <v>46022.0</v>
      </c>
      <c r="Z160" s="70">
        <v>46022.0</v>
      </c>
      <c r="AA160" s="52" t="s">
        <v>42</v>
      </c>
    </row>
    <row r="161">
      <c r="A161" s="52">
        <v>159.0</v>
      </c>
      <c r="B161" s="52" t="s">
        <v>871</v>
      </c>
      <c r="C161" s="52" t="s">
        <v>873</v>
      </c>
      <c r="D161" s="52" t="s">
        <v>1469</v>
      </c>
      <c r="E161" s="52" t="s">
        <v>1469</v>
      </c>
      <c r="F161" s="52" t="s">
        <v>1470</v>
      </c>
      <c r="G161" s="52" t="s">
        <v>1471</v>
      </c>
      <c r="H161" s="52" t="s">
        <v>1030</v>
      </c>
      <c r="I161" s="52" t="s">
        <v>1792</v>
      </c>
      <c r="J161" s="52">
        <v>7.0</v>
      </c>
      <c r="K161" s="52" t="s">
        <v>1483</v>
      </c>
      <c r="L161" s="52">
        <v>32.0</v>
      </c>
      <c r="M161" s="52">
        <v>32.0</v>
      </c>
      <c r="N161" s="52" t="s">
        <v>872</v>
      </c>
      <c r="O161" s="52" t="s">
        <v>1793</v>
      </c>
      <c r="P161" s="52" t="s">
        <v>587</v>
      </c>
      <c r="Q161" s="52" t="s">
        <v>1793</v>
      </c>
      <c r="S161" s="52">
        <v>4.593015E7</v>
      </c>
      <c r="T161" s="52">
        <v>19825.0</v>
      </c>
      <c r="U161" s="52">
        <v>17825.0</v>
      </c>
      <c r="V161" s="52" t="s">
        <v>91</v>
      </c>
      <c r="W161" s="69">
        <v>45693.0</v>
      </c>
      <c r="X161" s="70">
        <v>46010.0</v>
      </c>
      <c r="Z161" s="70">
        <v>46010.0</v>
      </c>
      <c r="AA161" s="52" t="s">
        <v>42</v>
      </c>
    </row>
    <row r="162">
      <c r="A162" s="52">
        <v>160.0</v>
      </c>
      <c r="B162" s="52" t="s">
        <v>1794</v>
      </c>
      <c r="C162" s="52" t="s">
        <v>878</v>
      </c>
      <c r="D162" s="52" t="s">
        <v>1469</v>
      </c>
      <c r="E162" s="52" t="s">
        <v>1469</v>
      </c>
      <c r="F162" s="52" t="s">
        <v>1470</v>
      </c>
      <c r="G162" s="52" t="s">
        <v>1471</v>
      </c>
      <c r="H162" s="52" t="s">
        <v>1030</v>
      </c>
      <c r="I162" s="52" t="s">
        <v>1526</v>
      </c>
      <c r="J162" s="52">
        <v>3.0</v>
      </c>
      <c r="K162" s="52" t="s">
        <v>1483</v>
      </c>
      <c r="L162" s="52">
        <v>16.0</v>
      </c>
      <c r="M162" s="52">
        <v>10.0</v>
      </c>
      <c r="N162" s="52" t="s">
        <v>877</v>
      </c>
      <c r="O162" s="52" t="s">
        <v>1795</v>
      </c>
      <c r="P162" s="52" t="s">
        <v>587</v>
      </c>
      <c r="Q162" s="52" t="s">
        <v>1795</v>
      </c>
      <c r="R162" s="72">
        <v>-242060.0</v>
      </c>
      <c r="S162" s="52">
        <v>3.933475E7</v>
      </c>
      <c r="T162" s="52">
        <v>19525.0</v>
      </c>
      <c r="U162" s="52">
        <v>19225.0</v>
      </c>
      <c r="V162" s="52" t="s">
        <v>91</v>
      </c>
      <c r="W162" s="69">
        <v>45694.0</v>
      </c>
      <c r="X162" s="70">
        <v>46022.0</v>
      </c>
      <c r="Z162" s="70">
        <v>46022.0</v>
      </c>
      <c r="AA162" s="52" t="s">
        <v>42</v>
      </c>
    </row>
    <row r="163">
      <c r="A163" s="52">
        <v>161.0</v>
      </c>
      <c r="B163" s="52" t="s">
        <v>880</v>
      </c>
      <c r="C163" s="52" t="s">
        <v>881</v>
      </c>
      <c r="D163" s="52" t="s">
        <v>1469</v>
      </c>
      <c r="E163" s="52" t="s">
        <v>1469</v>
      </c>
      <c r="F163" s="52" t="s">
        <v>1470</v>
      </c>
      <c r="G163" s="52" t="s">
        <v>1471</v>
      </c>
      <c r="H163" s="52" t="s">
        <v>1030</v>
      </c>
      <c r="I163" s="52" t="s">
        <v>1570</v>
      </c>
      <c r="J163" s="52">
        <v>2.0</v>
      </c>
      <c r="K163" s="52" t="s">
        <v>1483</v>
      </c>
      <c r="L163" s="52">
        <v>0.0</v>
      </c>
      <c r="M163" s="52">
        <v>0.0</v>
      </c>
      <c r="N163" s="52" t="s">
        <v>841</v>
      </c>
      <c r="O163" s="52" t="s">
        <v>1537</v>
      </c>
      <c r="P163" s="52" t="s">
        <v>587</v>
      </c>
      <c r="Q163" s="52" t="s">
        <v>1537</v>
      </c>
      <c r="R163" s="72">
        <v>-438060.0</v>
      </c>
      <c r="S163" s="52">
        <v>3.570189E7</v>
      </c>
      <c r="T163" s="52">
        <v>21625.0</v>
      </c>
      <c r="U163" s="52">
        <v>18125.0</v>
      </c>
      <c r="V163" s="52" t="s">
        <v>91</v>
      </c>
      <c r="W163" s="69">
        <v>45693.0</v>
      </c>
      <c r="X163" s="70">
        <v>46022.0</v>
      </c>
      <c r="Z163" s="70">
        <v>46022.0</v>
      </c>
      <c r="AA163" s="52" t="s">
        <v>42</v>
      </c>
    </row>
    <row r="164">
      <c r="A164" s="52">
        <v>162.0</v>
      </c>
      <c r="B164" s="52" t="s">
        <v>883</v>
      </c>
      <c r="C164" s="52" t="s">
        <v>885</v>
      </c>
      <c r="D164" s="52" t="s">
        <v>1497</v>
      </c>
      <c r="E164" s="52" t="s">
        <v>1497</v>
      </c>
      <c r="F164" s="52" t="s">
        <v>1478</v>
      </c>
      <c r="G164" s="52" t="s">
        <v>1471</v>
      </c>
      <c r="H164" s="52" t="s">
        <v>1030</v>
      </c>
      <c r="I164" s="52" t="s">
        <v>1526</v>
      </c>
      <c r="J164" s="52">
        <v>2.0</v>
      </c>
      <c r="K164" s="52" t="s">
        <v>1483</v>
      </c>
      <c r="L164" s="52">
        <v>15.0</v>
      </c>
      <c r="M164" s="52">
        <v>3.0</v>
      </c>
      <c r="N164" s="52" t="s">
        <v>884</v>
      </c>
      <c r="O164" s="52" t="s">
        <v>1796</v>
      </c>
      <c r="P164" s="52" t="s">
        <v>587</v>
      </c>
      <c r="Q164" s="52" t="s">
        <v>1796</v>
      </c>
      <c r="R164" s="52">
        <v>-460000.0</v>
      </c>
      <c r="S164" s="52">
        <v>3.749E7</v>
      </c>
      <c r="T164" s="52">
        <v>17025.0</v>
      </c>
      <c r="U164" s="52">
        <v>19025.0</v>
      </c>
      <c r="V164" s="52" t="s">
        <v>77</v>
      </c>
      <c r="W164" s="69">
        <v>45693.0</v>
      </c>
      <c r="X164" s="70">
        <v>46022.0</v>
      </c>
      <c r="Z164" s="70">
        <v>46022.0</v>
      </c>
      <c r="AA164" s="52" t="s">
        <v>42</v>
      </c>
    </row>
    <row r="165">
      <c r="A165" s="52">
        <v>163.0</v>
      </c>
      <c r="B165" s="52" t="s">
        <v>887</v>
      </c>
      <c r="C165" s="52" t="s">
        <v>889</v>
      </c>
      <c r="D165" s="52" t="s">
        <v>1497</v>
      </c>
      <c r="E165" s="52" t="s">
        <v>1497</v>
      </c>
      <c r="F165" s="52" t="s">
        <v>1478</v>
      </c>
      <c r="G165" s="52" t="s">
        <v>1471</v>
      </c>
      <c r="H165" s="52" t="s">
        <v>1030</v>
      </c>
      <c r="I165" s="52" t="s">
        <v>1797</v>
      </c>
      <c r="J165" s="52">
        <v>2.0</v>
      </c>
      <c r="K165" s="52" t="s">
        <v>1483</v>
      </c>
      <c r="L165" s="52">
        <v>0.0</v>
      </c>
      <c r="M165" s="52">
        <v>0.0</v>
      </c>
      <c r="N165" s="52" t="s">
        <v>888</v>
      </c>
      <c r="O165" s="52" t="s">
        <v>1537</v>
      </c>
      <c r="P165" s="52" t="s">
        <v>1798</v>
      </c>
      <c r="Q165" s="52" t="s">
        <v>1799</v>
      </c>
      <c r="R165" s="72">
        <v>-438060.0</v>
      </c>
      <c r="S165" s="52">
        <v>3.852074E7</v>
      </c>
      <c r="T165" s="52">
        <v>16925.0</v>
      </c>
      <c r="U165" s="52">
        <v>18725.0</v>
      </c>
      <c r="V165" s="52" t="s">
        <v>77</v>
      </c>
      <c r="W165" s="69">
        <v>45693.0</v>
      </c>
      <c r="X165" s="70">
        <v>46022.0</v>
      </c>
      <c r="Z165" s="70">
        <v>46022.0</v>
      </c>
      <c r="AA165" s="52" t="s">
        <v>42</v>
      </c>
    </row>
    <row r="166">
      <c r="A166" s="52">
        <v>164.0</v>
      </c>
      <c r="B166" s="52" t="s">
        <v>891</v>
      </c>
      <c r="C166" s="52" t="s">
        <v>893</v>
      </c>
      <c r="D166" s="52" t="s">
        <v>1497</v>
      </c>
      <c r="E166" s="52" t="s">
        <v>1497</v>
      </c>
      <c r="F166" s="52" t="s">
        <v>1478</v>
      </c>
      <c r="G166" s="52" t="s">
        <v>1471</v>
      </c>
      <c r="H166" s="52" t="s">
        <v>1030</v>
      </c>
      <c r="I166" s="52" t="s">
        <v>1800</v>
      </c>
      <c r="J166" s="52">
        <v>13.0</v>
      </c>
      <c r="K166" s="52" t="s">
        <v>1473</v>
      </c>
      <c r="L166" s="52">
        <v>23.0</v>
      </c>
      <c r="M166" s="52">
        <v>19.0</v>
      </c>
      <c r="N166" s="52" t="s">
        <v>892</v>
      </c>
      <c r="O166" s="52" t="s">
        <v>1779</v>
      </c>
      <c r="P166" s="52" t="s">
        <v>1801</v>
      </c>
      <c r="Q166" s="52" t="s">
        <v>1802</v>
      </c>
      <c r="S166" s="52">
        <v>7.05E7</v>
      </c>
      <c r="T166" s="52">
        <v>17225.0</v>
      </c>
      <c r="U166" s="52">
        <v>17925.0</v>
      </c>
      <c r="V166" s="52" t="s">
        <v>98</v>
      </c>
      <c r="W166" s="69">
        <v>45693.0</v>
      </c>
      <c r="X166" s="70">
        <v>46022.0</v>
      </c>
      <c r="Z166" s="70">
        <v>46022.0</v>
      </c>
      <c r="AA166" s="52" t="s">
        <v>42</v>
      </c>
    </row>
    <row r="167">
      <c r="A167" s="52">
        <v>165.0</v>
      </c>
      <c r="B167" s="52" t="s">
        <v>895</v>
      </c>
      <c r="C167" s="52" t="s">
        <v>897</v>
      </c>
      <c r="D167" s="52" t="s">
        <v>1482</v>
      </c>
      <c r="E167" s="52" t="s">
        <v>1482</v>
      </c>
      <c r="F167" s="52" t="s">
        <v>1478</v>
      </c>
      <c r="G167" s="52" t="s">
        <v>1471</v>
      </c>
      <c r="H167" s="52" t="s">
        <v>1030</v>
      </c>
      <c r="I167" s="52" t="s">
        <v>1521</v>
      </c>
      <c r="J167" s="52">
        <v>16.0</v>
      </c>
      <c r="K167" s="52" t="s">
        <v>1473</v>
      </c>
      <c r="L167" s="52">
        <v>31.0</v>
      </c>
      <c r="M167" s="52">
        <v>21.0</v>
      </c>
      <c r="N167" s="52" t="s">
        <v>896</v>
      </c>
      <c r="O167" s="52">
        <v>8.65315E7</v>
      </c>
      <c r="P167" s="52">
        <v>1835517.0</v>
      </c>
      <c r="Q167" s="52" t="s">
        <v>1803</v>
      </c>
      <c r="R167" s="72">
        <v>-1048867.0</v>
      </c>
      <c r="S167" s="52">
        <v>8.731815E7</v>
      </c>
      <c r="T167" s="52">
        <v>17825.0</v>
      </c>
      <c r="U167" s="52">
        <v>18925.0</v>
      </c>
      <c r="V167" s="52" t="s">
        <v>351</v>
      </c>
      <c r="W167" s="69">
        <v>45693.0</v>
      </c>
      <c r="X167" s="70">
        <v>46022.0</v>
      </c>
      <c r="Z167" s="70">
        <v>46022.0</v>
      </c>
      <c r="AA167" s="52" t="s">
        <v>42</v>
      </c>
    </row>
    <row r="168">
      <c r="A168" s="52">
        <v>166.0</v>
      </c>
      <c r="B168" s="52" t="s">
        <v>900</v>
      </c>
      <c r="C168" s="52" t="s">
        <v>902</v>
      </c>
      <c r="D168" s="52" t="s">
        <v>1520</v>
      </c>
      <c r="E168" s="52" t="s">
        <v>1520</v>
      </c>
      <c r="F168" s="52" t="s">
        <v>1478</v>
      </c>
      <c r="G168" s="52" t="s">
        <v>1471</v>
      </c>
      <c r="H168" s="52" t="s">
        <v>1030</v>
      </c>
      <c r="I168" s="52" t="s">
        <v>1804</v>
      </c>
      <c r="J168" s="52">
        <v>21.0</v>
      </c>
      <c r="K168" s="52" t="s">
        <v>1473</v>
      </c>
      <c r="L168" s="52">
        <v>92.0</v>
      </c>
      <c r="M168" s="52">
        <v>78.0</v>
      </c>
      <c r="N168" s="52" t="s">
        <v>901</v>
      </c>
      <c r="O168" s="52" t="s">
        <v>1753</v>
      </c>
      <c r="P168" s="52" t="s">
        <v>1604</v>
      </c>
      <c r="Q168" s="52" t="s">
        <v>1756</v>
      </c>
      <c r="R168" s="72">
        <v>-2083620.0</v>
      </c>
      <c r="S168" s="52">
        <v>1.1391548E8</v>
      </c>
      <c r="T168" s="52">
        <v>16225.0</v>
      </c>
      <c r="U168" s="52">
        <v>21425.0</v>
      </c>
      <c r="V168" s="52" t="s">
        <v>152</v>
      </c>
      <c r="W168" s="69">
        <v>45695.0</v>
      </c>
      <c r="X168" s="70">
        <v>46022.0</v>
      </c>
      <c r="Z168" s="70">
        <v>46022.0</v>
      </c>
      <c r="AA168" s="52" t="s">
        <v>42</v>
      </c>
    </row>
    <row r="169">
      <c r="A169" s="52">
        <v>167.0</v>
      </c>
      <c r="B169" s="52" t="s">
        <v>905</v>
      </c>
      <c r="C169" s="52" t="s">
        <v>907</v>
      </c>
      <c r="D169" s="52" t="s">
        <v>1487</v>
      </c>
      <c r="E169" s="52" t="s">
        <v>1487</v>
      </c>
      <c r="F169" s="52" t="s">
        <v>1478</v>
      </c>
      <c r="G169" s="52" t="s">
        <v>1471</v>
      </c>
      <c r="H169" s="52" t="s">
        <v>781</v>
      </c>
      <c r="I169" s="52" t="s">
        <v>1805</v>
      </c>
      <c r="J169" s="52">
        <v>5.0</v>
      </c>
      <c r="K169" s="52" t="s">
        <v>1483</v>
      </c>
      <c r="L169" s="52">
        <v>16.0</v>
      </c>
      <c r="M169" s="52">
        <v>0.0</v>
      </c>
      <c r="N169" s="52" t="s">
        <v>906</v>
      </c>
      <c r="O169" s="52" t="s">
        <v>1806</v>
      </c>
      <c r="P169" s="52" t="s">
        <v>587</v>
      </c>
      <c r="Q169" s="52" t="s">
        <v>1806</v>
      </c>
      <c r="S169" s="52">
        <v>2.03742E7</v>
      </c>
      <c r="T169" s="52">
        <v>19225.0</v>
      </c>
      <c r="U169" s="52">
        <v>20025.0</v>
      </c>
      <c r="V169" s="52" t="s">
        <v>197</v>
      </c>
      <c r="W169" s="69">
        <v>45694.0</v>
      </c>
      <c r="X169" s="70">
        <v>46011.0</v>
      </c>
      <c r="Z169" s="70">
        <v>46011.0</v>
      </c>
      <c r="AA169" s="52" t="s">
        <v>42</v>
      </c>
    </row>
    <row r="170">
      <c r="A170" s="52">
        <v>168.0</v>
      </c>
      <c r="B170" s="52" t="s">
        <v>909</v>
      </c>
      <c r="C170" s="52" t="s">
        <v>911</v>
      </c>
      <c r="D170" s="52" t="s">
        <v>1482</v>
      </c>
      <c r="E170" s="52" t="s">
        <v>1482</v>
      </c>
      <c r="F170" s="52" t="s">
        <v>1478</v>
      </c>
      <c r="G170" s="52" t="s">
        <v>1471</v>
      </c>
      <c r="H170" s="52" t="s">
        <v>1030</v>
      </c>
      <c r="I170" s="52" t="s">
        <v>1526</v>
      </c>
      <c r="J170" s="52">
        <v>15.0</v>
      </c>
      <c r="K170" s="52" t="s">
        <v>1473</v>
      </c>
      <c r="L170" s="52">
        <v>33.0</v>
      </c>
      <c r="M170" s="52">
        <v>33.0</v>
      </c>
      <c r="N170" s="52" t="s">
        <v>910</v>
      </c>
      <c r="O170" s="52" t="s">
        <v>1745</v>
      </c>
      <c r="P170" s="52" t="s">
        <v>587</v>
      </c>
      <c r="Q170" s="52" t="s">
        <v>1745</v>
      </c>
      <c r="S170" s="52">
        <v>4.37796E7</v>
      </c>
      <c r="T170" s="52">
        <v>13825.0</v>
      </c>
      <c r="U170" s="52">
        <v>20425.0</v>
      </c>
      <c r="V170" s="52" t="s">
        <v>53</v>
      </c>
      <c r="W170" s="69">
        <v>45694.0</v>
      </c>
      <c r="X170" s="70">
        <v>45874.0</v>
      </c>
      <c r="Z170" s="70">
        <v>45874.0</v>
      </c>
      <c r="AA170" s="52" t="s">
        <v>42</v>
      </c>
    </row>
    <row r="171">
      <c r="A171" s="52">
        <v>169.0</v>
      </c>
      <c r="B171" s="52" t="s">
        <v>914</v>
      </c>
      <c r="C171" s="52" t="s">
        <v>916</v>
      </c>
      <c r="D171" s="52" t="s">
        <v>1513</v>
      </c>
      <c r="F171" s="52" t="s">
        <v>1478</v>
      </c>
      <c r="G171" s="52" t="s">
        <v>1471</v>
      </c>
      <c r="H171" s="52" t="s">
        <v>1030</v>
      </c>
      <c r="I171" s="52" t="s">
        <v>1507</v>
      </c>
      <c r="J171" s="52">
        <v>17.0</v>
      </c>
      <c r="K171" s="52" t="s">
        <v>1473</v>
      </c>
      <c r="L171" s="52">
        <v>58.0</v>
      </c>
      <c r="M171" s="52">
        <v>40.0</v>
      </c>
      <c r="N171" s="52" t="s">
        <v>915</v>
      </c>
      <c r="O171" s="52" t="s">
        <v>1807</v>
      </c>
      <c r="P171" s="52" t="s">
        <v>587</v>
      </c>
      <c r="Q171" s="52" t="s">
        <v>1807</v>
      </c>
      <c r="S171" s="52">
        <v>5.6E7</v>
      </c>
      <c r="T171" s="52">
        <v>21225.0</v>
      </c>
      <c r="U171" s="52">
        <v>19625.0</v>
      </c>
      <c r="V171" s="52" t="s">
        <v>917</v>
      </c>
      <c r="W171" s="69">
        <v>45694.0</v>
      </c>
      <c r="X171" s="70">
        <v>45905.0</v>
      </c>
      <c r="Z171" s="70">
        <v>45905.0</v>
      </c>
      <c r="AA171" s="52" t="s">
        <v>42</v>
      </c>
    </row>
    <row r="172">
      <c r="A172" s="52">
        <v>170.0</v>
      </c>
      <c r="B172" s="52" t="s">
        <v>919</v>
      </c>
      <c r="C172" s="52" t="s">
        <v>921</v>
      </c>
      <c r="D172" s="52" t="s">
        <v>1513</v>
      </c>
      <c r="F172" s="52" t="s">
        <v>1478</v>
      </c>
      <c r="G172" s="52" t="s">
        <v>1471</v>
      </c>
      <c r="H172" s="52" t="s">
        <v>1030</v>
      </c>
      <c r="I172" s="52" t="s">
        <v>1528</v>
      </c>
      <c r="J172" s="52">
        <v>4.0</v>
      </c>
      <c r="K172" s="52" t="s">
        <v>1483</v>
      </c>
      <c r="L172" s="52">
        <v>18.0</v>
      </c>
      <c r="M172" s="52">
        <v>18.0</v>
      </c>
      <c r="N172" s="52" t="s">
        <v>920</v>
      </c>
      <c r="O172" s="52" t="s">
        <v>1808</v>
      </c>
      <c r="P172" s="52" t="s">
        <v>587</v>
      </c>
      <c r="Q172" s="52" t="s">
        <v>1808</v>
      </c>
      <c r="S172" s="52">
        <v>4.123574E7</v>
      </c>
      <c r="T172" s="52">
        <v>22125.0</v>
      </c>
      <c r="U172" s="52">
        <v>20625.0</v>
      </c>
      <c r="V172" s="52" t="s">
        <v>203</v>
      </c>
      <c r="W172" s="69">
        <v>45695.0</v>
      </c>
      <c r="X172" s="70">
        <v>46022.0</v>
      </c>
      <c r="Z172" s="70">
        <v>46022.0</v>
      </c>
      <c r="AA172" s="52" t="s">
        <v>42</v>
      </c>
    </row>
    <row r="173">
      <c r="A173" s="52">
        <v>171.0</v>
      </c>
      <c r="B173" s="52" t="s">
        <v>923</v>
      </c>
      <c r="C173" s="52" t="s">
        <v>925</v>
      </c>
      <c r="D173" s="52" t="s">
        <v>1489</v>
      </c>
      <c r="E173" s="52" t="s">
        <v>1489</v>
      </c>
      <c r="F173" s="52" t="s">
        <v>1478</v>
      </c>
      <c r="G173" s="52" t="s">
        <v>1471</v>
      </c>
      <c r="H173" s="52" t="s">
        <v>1030</v>
      </c>
      <c r="I173" s="52" t="s">
        <v>1689</v>
      </c>
      <c r="J173" s="52">
        <v>13.0</v>
      </c>
      <c r="K173" s="52" t="s">
        <v>1473</v>
      </c>
      <c r="L173" s="52">
        <v>22.0</v>
      </c>
      <c r="M173" s="52">
        <v>17.0</v>
      </c>
      <c r="N173" s="52" t="s">
        <v>924</v>
      </c>
      <c r="O173" s="52" t="s">
        <v>1809</v>
      </c>
      <c r="P173" s="52" t="s">
        <v>587</v>
      </c>
      <c r="Q173" s="52" t="s">
        <v>1809</v>
      </c>
      <c r="S173" s="52">
        <v>6.44E7</v>
      </c>
      <c r="T173" s="52">
        <v>23125.0</v>
      </c>
      <c r="U173" s="52">
        <v>20825.0</v>
      </c>
      <c r="V173" s="52" t="s">
        <v>926</v>
      </c>
      <c r="W173" s="69">
        <v>45695.0</v>
      </c>
      <c r="X173" s="70">
        <v>46019.0</v>
      </c>
      <c r="Z173" s="70">
        <v>46019.0</v>
      </c>
      <c r="AA173" s="52" t="s">
        <v>42</v>
      </c>
    </row>
    <row r="174">
      <c r="A174" s="52">
        <v>172.0</v>
      </c>
      <c r="B174" s="52" t="s">
        <v>928</v>
      </c>
      <c r="C174" s="52" t="s">
        <v>930</v>
      </c>
      <c r="D174" s="52" t="s">
        <v>1489</v>
      </c>
      <c r="E174" s="52" t="s">
        <v>1489</v>
      </c>
      <c r="F174" s="52" t="s">
        <v>1478</v>
      </c>
      <c r="G174" s="52" t="s">
        <v>1471</v>
      </c>
      <c r="H174" s="52" t="s">
        <v>1030</v>
      </c>
      <c r="I174" s="52" t="s">
        <v>1712</v>
      </c>
      <c r="J174" s="52">
        <v>15.0</v>
      </c>
      <c r="K174" s="52" t="s">
        <v>1473</v>
      </c>
      <c r="L174" s="52">
        <v>76.0</v>
      </c>
      <c r="M174" s="52">
        <v>17.0</v>
      </c>
      <c r="N174" s="52" t="s">
        <v>929</v>
      </c>
      <c r="O174" s="52" t="s">
        <v>1810</v>
      </c>
      <c r="P174" s="52" t="s">
        <v>587</v>
      </c>
      <c r="Q174" s="52" t="s">
        <v>1810</v>
      </c>
      <c r="S174" s="52">
        <v>7.6206667E7</v>
      </c>
      <c r="T174" s="52">
        <v>23325.0</v>
      </c>
      <c r="U174" s="52">
        <v>19725.0</v>
      </c>
      <c r="V174" s="52" t="s">
        <v>926</v>
      </c>
      <c r="W174" s="69">
        <v>45695.0</v>
      </c>
      <c r="X174" s="70">
        <v>46019.0</v>
      </c>
      <c r="Z174" s="70">
        <v>46019.0</v>
      </c>
      <c r="AA174" s="52" t="s">
        <v>42</v>
      </c>
    </row>
    <row r="175">
      <c r="A175" s="52">
        <v>173.0</v>
      </c>
      <c r="B175" s="52" t="s">
        <v>931</v>
      </c>
      <c r="C175" s="52" t="s">
        <v>933</v>
      </c>
      <c r="D175" s="52" t="s">
        <v>1489</v>
      </c>
      <c r="E175" s="52" t="s">
        <v>1489</v>
      </c>
      <c r="F175" s="52" t="s">
        <v>1478</v>
      </c>
      <c r="G175" s="52" t="s">
        <v>1471</v>
      </c>
      <c r="H175" s="52" t="s">
        <v>781</v>
      </c>
      <c r="I175" s="52" t="s">
        <v>1573</v>
      </c>
      <c r="J175" s="52">
        <v>16.0</v>
      </c>
      <c r="K175" s="52" t="s">
        <v>1483</v>
      </c>
      <c r="L175" s="52">
        <v>17.0</v>
      </c>
      <c r="M175" s="52">
        <v>0.0</v>
      </c>
      <c r="N175" s="52" t="s">
        <v>932</v>
      </c>
      <c r="O175" s="52" t="s">
        <v>1767</v>
      </c>
      <c r="P175" s="52" t="s">
        <v>587</v>
      </c>
      <c r="Q175" s="52" t="s">
        <v>1767</v>
      </c>
      <c r="S175" s="52">
        <v>4.4E7</v>
      </c>
      <c r="T175" s="52">
        <v>23225.0</v>
      </c>
      <c r="U175" s="52">
        <v>20325.0</v>
      </c>
      <c r="V175" s="52" t="s">
        <v>367</v>
      </c>
      <c r="W175" s="69">
        <v>45694.0</v>
      </c>
      <c r="X175" s="70">
        <v>46022.0</v>
      </c>
      <c r="Z175" s="70">
        <v>46022.0</v>
      </c>
      <c r="AA175" s="52" t="s">
        <v>42</v>
      </c>
    </row>
    <row r="176">
      <c r="A176" s="52">
        <v>174.0</v>
      </c>
      <c r="B176" s="52" t="s">
        <v>935</v>
      </c>
      <c r="C176" s="52" t="s">
        <v>937</v>
      </c>
      <c r="D176" s="52" t="s">
        <v>1482</v>
      </c>
      <c r="E176" s="52" t="s">
        <v>1482</v>
      </c>
      <c r="F176" s="52" t="s">
        <v>1478</v>
      </c>
      <c r="G176" s="52" t="s">
        <v>1471</v>
      </c>
      <c r="H176" s="52" t="s">
        <v>1030</v>
      </c>
      <c r="I176" s="52" t="s">
        <v>1625</v>
      </c>
      <c r="J176" s="52">
        <v>15.0</v>
      </c>
      <c r="K176" s="52" t="s">
        <v>1473</v>
      </c>
      <c r="L176" s="52">
        <v>70.0</v>
      </c>
      <c r="M176" s="52">
        <v>70.0</v>
      </c>
      <c r="N176" s="52" t="s">
        <v>936</v>
      </c>
      <c r="O176" s="52" t="s">
        <v>1811</v>
      </c>
      <c r="P176" s="52" t="s">
        <v>587</v>
      </c>
      <c r="Q176" s="52" t="s">
        <v>1811</v>
      </c>
      <c r="R176" s="72">
        <v>-243220.0</v>
      </c>
      <c r="S176" s="52">
        <v>7.880328E7</v>
      </c>
      <c r="T176" s="52">
        <v>17925.0</v>
      </c>
      <c r="U176" s="52">
        <v>20925.0</v>
      </c>
      <c r="V176" s="52" t="s">
        <v>53</v>
      </c>
      <c r="W176" s="69">
        <v>45695.0</v>
      </c>
      <c r="X176" s="70">
        <v>46022.0</v>
      </c>
      <c r="Z176" s="70">
        <v>46022.0</v>
      </c>
      <c r="AA176" s="52" t="s">
        <v>42</v>
      </c>
    </row>
    <row r="177">
      <c r="A177" s="52">
        <v>175.0</v>
      </c>
      <c r="B177" s="52" t="s">
        <v>938</v>
      </c>
      <c r="C177" s="52" t="s">
        <v>940</v>
      </c>
      <c r="D177" s="52" t="s">
        <v>1482</v>
      </c>
      <c r="E177" s="52" t="s">
        <v>1482</v>
      </c>
      <c r="F177" s="52" t="s">
        <v>1478</v>
      </c>
      <c r="G177" s="52" t="s">
        <v>1471</v>
      </c>
      <c r="H177" s="52" t="s">
        <v>1030</v>
      </c>
      <c r="I177" s="52" t="s">
        <v>1744</v>
      </c>
      <c r="J177" s="52">
        <v>15.0</v>
      </c>
      <c r="K177" s="52" t="s">
        <v>1473</v>
      </c>
      <c r="L177" s="52">
        <v>31.0</v>
      </c>
      <c r="M177" s="52">
        <v>18.0</v>
      </c>
      <c r="N177" s="52" t="s">
        <v>939</v>
      </c>
      <c r="O177" s="52" t="s">
        <v>1811</v>
      </c>
      <c r="P177" s="52" t="s">
        <v>587</v>
      </c>
      <c r="Q177" s="52" t="s">
        <v>1811</v>
      </c>
      <c r="S177" s="52">
        <v>7.90465E7</v>
      </c>
      <c r="T177" s="52">
        <v>18225.0</v>
      </c>
      <c r="U177" s="52">
        <v>20225.0</v>
      </c>
      <c r="V177" s="52" t="s">
        <v>351</v>
      </c>
      <c r="W177" s="69">
        <v>45694.0</v>
      </c>
      <c r="X177" s="70">
        <v>46021.0</v>
      </c>
      <c r="Z177" s="70">
        <v>46021.0</v>
      </c>
      <c r="AA177" s="52" t="s">
        <v>42</v>
      </c>
    </row>
    <row r="178">
      <c r="A178" s="52">
        <v>176.0</v>
      </c>
      <c r="B178" s="52" t="s">
        <v>942</v>
      </c>
      <c r="C178" s="52" t="s">
        <v>944</v>
      </c>
      <c r="D178" s="52" t="s">
        <v>1482</v>
      </c>
      <c r="E178" s="52" t="s">
        <v>1482</v>
      </c>
      <c r="F178" s="52" t="s">
        <v>1478</v>
      </c>
      <c r="G178" s="52" t="s">
        <v>1471</v>
      </c>
      <c r="H178" s="52" t="s">
        <v>1030</v>
      </c>
      <c r="I178" s="52" t="s">
        <v>1521</v>
      </c>
      <c r="J178" s="52">
        <v>16.0</v>
      </c>
      <c r="K178" s="52" t="s">
        <v>1473</v>
      </c>
      <c r="L178" s="52">
        <v>91.0</v>
      </c>
      <c r="M178" s="52">
        <v>23.0</v>
      </c>
      <c r="N178" s="52" t="s">
        <v>943</v>
      </c>
      <c r="O178" s="52" t="s">
        <v>1812</v>
      </c>
      <c r="P178" s="52" t="s">
        <v>1813</v>
      </c>
      <c r="Q178" s="52" t="s">
        <v>1814</v>
      </c>
      <c r="S178" s="52">
        <v>8.7482633E7</v>
      </c>
      <c r="T178" s="52">
        <v>18325.0</v>
      </c>
      <c r="U178" s="52">
        <v>21625.0</v>
      </c>
      <c r="V178" s="52" t="s">
        <v>351</v>
      </c>
      <c r="W178" s="69">
        <v>45695.0</v>
      </c>
      <c r="X178" s="70">
        <v>46022.0</v>
      </c>
      <c r="Z178" s="70">
        <v>46022.0</v>
      </c>
      <c r="AA178" s="52" t="s">
        <v>42</v>
      </c>
    </row>
    <row r="179">
      <c r="A179" s="52">
        <v>177.0</v>
      </c>
      <c r="B179" s="52" t="s">
        <v>945</v>
      </c>
      <c r="C179" s="52" t="s">
        <v>947</v>
      </c>
      <c r="D179" s="52" t="s">
        <v>1482</v>
      </c>
      <c r="E179" s="52" t="s">
        <v>1482</v>
      </c>
      <c r="F179" s="52" t="s">
        <v>1478</v>
      </c>
      <c r="G179" s="52" t="s">
        <v>1471</v>
      </c>
      <c r="H179" s="52" t="s">
        <v>1030</v>
      </c>
      <c r="I179" s="52" t="s">
        <v>1815</v>
      </c>
      <c r="J179" s="52">
        <v>7.0</v>
      </c>
      <c r="K179" s="52" t="s">
        <v>1483</v>
      </c>
      <c r="L179" s="52">
        <v>63.0</v>
      </c>
      <c r="M179" s="52">
        <v>4.0</v>
      </c>
      <c r="N179" s="52" t="s">
        <v>946</v>
      </c>
      <c r="O179" s="52" t="s">
        <v>1816</v>
      </c>
      <c r="P179" s="52" t="s">
        <v>587</v>
      </c>
      <c r="Q179" s="52" t="s">
        <v>1816</v>
      </c>
      <c r="R179" s="71">
        <v>-151560.0</v>
      </c>
      <c r="S179" s="52">
        <v>4.910544E7</v>
      </c>
      <c r="T179" s="52">
        <v>18825.0</v>
      </c>
      <c r="U179" s="52">
        <v>21525.0</v>
      </c>
      <c r="V179" s="52" t="s">
        <v>53</v>
      </c>
      <c r="W179" s="69">
        <v>45695.0</v>
      </c>
      <c r="X179" s="70">
        <v>46022.0</v>
      </c>
      <c r="Z179" s="70">
        <v>46022.0</v>
      </c>
      <c r="AA179" s="52" t="s">
        <v>42</v>
      </c>
    </row>
    <row r="180">
      <c r="A180" s="52">
        <v>178.0</v>
      </c>
      <c r="B180" s="52" t="s">
        <v>948</v>
      </c>
      <c r="C180" s="52" t="s">
        <v>950</v>
      </c>
      <c r="D180" s="52" t="s">
        <v>1469</v>
      </c>
      <c r="E180" s="52" t="s">
        <v>1469</v>
      </c>
      <c r="F180" s="52" t="s">
        <v>1478</v>
      </c>
      <c r="G180" s="52" t="s">
        <v>1471</v>
      </c>
      <c r="H180" s="52" t="s">
        <v>1030</v>
      </c>
      <c r="I180" s="52" t="s">
        <v>1757</v>
      </c>
      <c r="J180" s="52">
        <v>23.0</v>
      </c>
      <c r="K180" s="52" t="s">
        <v>1473</v>
      </c>
      <c r="L180" s="52">
        <v>52.0</v>
      </c>
      <c r="M180" s="52">
        <v>40.0</v>
      </c>
      <c r="N180" s="52" t="s">
        <v>949</v>
      </c>
      <c r="O180" s="52" t="s">
        <v>1817</v>
      </c>
      <c r="P180" s="52" t="s">
        <v>587</v>
      </c>
      <c r="Q180" s="52" t="s">
        <v>1817</v>
      </c>
      <c r="S180" s="52">
        <v>1.29571585E8</v>
      </c>
      <c r="T180" s="52">
        <v>20525.0</v>
      </c>
      <c r="U180" s="52">
        <v>23725.0</v>
      </c>
      <c r="V180" s="52" t="s">
        <v>313</v>
      </c>
      <c r="W180" s="69">
        <v>45701.0</v>
      </c>
      <c r="X180" s="70">
        <v>46022.0</v>
      </c>
      <c r="Z180" s="70">
        <v>46022.0</v>
      </c>
      <c r="AA180" s="52" t="s">
        <v>42</v>
      </c>
    </row>
    <row r="181">
      <c r="A181" s="52">
        <v>179.0</v>
      </c>
      <c r="B181" s="52" t="s">
        <v>951</v>
      </c>
      <c r="C181" s="52" t="s">
        <v>953</v>
      </c>
      <c r="D181" s="52" t="s">
        <v>1482</v>
      </c>
      <c r="E181" s="52" t="s">
        <v>1482</v>
      </c>
      <c r="F181" s="52" t="s">
        <v>1478</v>
      </c>
      <c r="G181" s="52" t="s">
        <v>1471</v>
      </c>
      <c r="H181" s="52" t="s">
        <v>1030</v>
      </c>
      <c r="I181" s="52" t="s">
        <v>1526</v>
      </c>
      <c r="J181" s="52">
        <v>16.0</v>
      </c>
      <c r="K181" s="52" t="s">
        <v>1473</v>
      </c>
      <c r="L181" s="52">
        <v>53.0</v>
      </c>
      <c r="M181" s="52">
        <v>53.0</v>
      </c>
      <c r="N181" s="52" t="s">
        <v>952</v>
      </c>
      <c r="O181" s="52" t="s">
        <v>1766</v>
      </c>
      <c r="P181" s="52" t="s">
        <v>587</v>
      </c>
      <c r="Q181" s="52" t="s">
        <v>1766</v>
      </c>
      <c r="S181" s="52">
        <v>8.55465E7</v>
      </c>
      <c r="T181" s="52">
        <v>19025.0</v>
      </c>
      <c r="U181" s="52">
        <v>19825.0</v>
      </c>
      <c r="V181" s="52" t="s">
        <v>53</v>
      </c>
      <c r="W181" s="69">
        <v>45694.0</v>
      </c>
      <c r="X181" s="70">
        <v>46021.0</v>
      </c>
      <c r="Z181" s="70">
        <v>46021.0</v>
      </c>
      <c r="AA181" s="52" t="s">
        <v>42</v>
      </c>
    </row>
    <row r="182">
      <c r="A182" s="52">
        <v>180.0</v>
      </c>
      <c r="B182" s="52" t="s">
        <v>954</v>
      </c>
      <c r="C182" s="52" t="s">
        <v>956</v>
      </c>
      <c r="D182" s="52" t="s">
        <v>1482</v>
      </c>
      <c r="E182" s="52" t="s">
        <v>1482</v>
      </c>
      <c r="F182" s="52" t="s">
        <v>1478</v>
      </c>
      <c r="G182" s="52" t="s">
        <v>1471</v>
      </c>
      <c r="H182" s="52" t="s">
        <v>781</v>
      </c>
      <c r="I182" s="52" t="s">
        <v>1521</v>
      </c>
      <c r="J182" s="52">
        <v>13.0</v>
      </c>
      <c r="K182" s="52" t="s">
        <v>1473</v>
      </c>
      <c r="L182" s="52">
        <v>72.0</v>
      </c>
      <c r="M182" s="52">
        <v>38.0</v>
      </c>
      <c r="N182" s="52" t="s">
        <v>955</v>
      </c>
      <c r="O182" s="52" t="s">
        <v>1818</v>
      </c>
      <c r="P182" s="52" t="s">
        <v>587</v>
      </c>
      <c r="Q182" s="52" t="s">
        <v>1818</v>
      </c>
      <c r="S182" s="52">
        <v>2.6780667E7</v>
      </c>
      <c r="T182" s="52">
        <v>19125.0</v>
      </c>
      <c r="U182" s="52">
        <v>20125.0</v>
      </c>
      <c r="V182" s="52" t="s">
        <v>351</v>
      </c>
      <c r="W182" s="69">
        <v>45694.0</v>
      </c>
      <c r="X182" s="70">
        <v>45832.0</v>
      </c>
      <c r="Z182" s="70">
        <v>45832.0</v>
      </c>
      <c r="AA182" s="52" t="s">
        <v>42</v>
      </c>
    </row>
    <row r="183">
      <c r="A183" s="52">
        <v>181.0</v>
      </c>
      <c r="B183" s="52" t="s">
        <v>1819</v>
      </c>
      <c r="C183" s="52" t="s">
        <v>959</v>
      </c>
      <c r="D183" s="52" t="s">
        <v>1469</v>
      </c>
      <c r="E183" s="52" t="s">
        <v>1469</v>
      </c>
      <c r="F183" s="52" t="s">
        <v>1478</v>
      </c>
      <c r="G183" s="52" t="s">
        <v>1471</v>
      </c>
      <c r="H183" s="52" t="s">
        <v>1030</v>
      </c>
      <c r="I183" s="52" t="s">
        <v>1577</v>
      </c>
      <c r="J183" s="52">
        <v>6.0</v>
      </c>
      <c r="K183" s="52" t="s">
        <v>1483</v>
      </c>
      <c r="L183" s="52">
        <v>25.0</v>
      </c>
      <c r="M183" s="52">
        <v>25.0</v>
      </c>
      <c r="N183" s="52" t="s">
        <v>958</v>
      </c>
      <c r="O183" s="52" t="s">
        <v>1820</v>
      </c>
      <c r="P183" s="52" t="s">
        <v>587</v>
      </c>
      <c r="Q183" s="52" t="s">
        <v>1820</v>
      </c>
      <c r="S183" s="52">
        <v>4.579575E7</v>
      </c>
      <c r="T183" s="52">
        <v>20225.0</v>
      </c>
      <c r="U183" s="52">
        <v>19925.0</v>
      </c>
      <c r="V183" s="52" t="s">
        <v>313</v>
      </c>
      <c r="W183" s="69">
        <v>45694.0</v>
      </c>
      <c r="X183" s="70">
        <v>46021.0</v>
      </c>
      <c r="Z183" s="70">
        <v>46021.0</v>
      </c>
      <c r="AA183" s="52" t="s">
        <v>42</v>
      </c>
    </row>
    <row r="184">
      <c r="A184" s="52">
        <v>182.0</v>
      </c>
      <c r="B184" s="52" t="s">
        <v>960</v>
      </c>
      <c r="C184" s="52" t="s">
        <v>962</v>
      </c>
      <c r="D184" s="52" t="s">
        <v>1482</v>
      </c>
      <c r="E184" s="52" t="s">
        <v>1482</v>
      </c>
      <c r="F184" s="52" t="s">
        <v>1478</v>
      </c>
      <c r="G184" s="52" t="s">
        <v>1471</v>
      </c>
      <c r="H184" s="52" t="s">
        <v>1030</v>
      </c>
      <c r="I184" s="52" t="s">
        <v>1521</v>
      </c>
      <c r="J184" s="52">
        <v>13.0</v>
      </c>
      <c r="K184" s="52" t="s">
        <v>1473</v>
      </c>
      <c r="L184" s="52">
        <v>22.0</v>
      </c>
      <c r="M184" s="52">
        <v>10.0</v>
      </c>
      <c r="N184" s="52" t="s">
        <v>961</v>
      </c>
      <c r="O184" s="52" t="s">
        <v>1821</v>
      </c>
      <c r="P184" s="52" t="s">
        <v>587</v>
      </c>
      <c r="Q184" s="52" t="s">
        <v>1821</v>
      </c>
      <c r="R184" s="72">
        <v>-205573.0</v>
      </c>
      <c r="S184" s="52">
        <v>6.660576E7</v>
      </c>
      <c r="T184" s="52">
        <v>18725.0</v>
      </c>
      <c r="U184" s="52">
        <v>21325.0</v>
      </c>
      <c r="V184" s="52" t="s">
        <v>53</v>
      </c>
      <c r="W184" s="69">
        <v>45695.0</v>
      </c>
      <c r="X184" s="70">
        <v>46022.0</v>
      </c>
      <c r="Z184" s="70">
        <v>46022.0</v>
      </c>
      <c r="AA184" s="52" t="s">
        <v>42</v>
      </c>
    </row>
    <row r="185">
      <c r="A185" s="52">
        <v>183.0</v>
      </c>
      <c r="B185" s="52" t="s">
        <v>963</v>
      </c>
      <c r="C185" s="52" t="s">
        <v>965</v>
      </c>
      <c r="D185" s="52" t="s">
        <v>1482</v>
      </c>
      <c r="E185" s="52" t="s">
        <v>1482</v>
      </c>
      <c r="F185" s="52" t="s">
        <v>1478</v>
      </c>
      <c r="G185" s="52" t="s">
        <v>1471</v>
      </c>
      <c r="H185" s="52" t="s">
        <v>1030</v>
      </c>
      <c r="I185" s="52" t="s">
        <v>1526</v>
      </c>
      <c r="J185" s="52">
        <v>1.0</v>
      </c>
      <c r="K185" s="52" t="s">
        <v>1483</v>
      </c>
      <c r="L185" s="52">
        <v>3.0</v>
      </c>
      <c r="M185" s="52">
        <v>3.0</v>
      </c>
      <c r="N185" s="52" t="s">
        <v>964</v>
      </c>
      <c r="O185" s="52" t="s">
        <v>1822</v>
      </c>
      <c r="P185" s="52" t="s">
        <v>587</v>
      </c>
      <c r="Q185" s="52" t="s">
        <v>1822</v>
      </c>
      <c r="R185" s="72">
        <v>-108470.0</v>
      </c>
      <c r="S185" s="52">
        <v>3.514428E7</v>
      </c>
      <c r="T185" s="52">
        <v>18625.0</v>
      </c>
      <c r="U185" s="52">
        <v>21825.0</v>
      </c>
      <c r="V185" s="52" t="s">
        <v>53</v>
      </c>
      <c r="W185" s="69">
        <v>45695.0</v>
      </c>
      <c r="X185" s="70">
        <v>46022.0</v>
      </c>
      <c r="Z185" s="70">
        <v>46022.0</v>
      </c>
      <c r="AA185" s="52" t="s">
        <v>42</v>
      </c>
    </row>
    <row r="186">
      <c r="A186" s="52">
        <v>184.0</v>
      </c>
      <c r="B186" s="52" t="s">
        <v>967</v>
      </c>
      <c r="C186" s="52" t="s">
        <v>969</v>
      </c>
      <c r="D186" s="52" t="s">
        <v>1482</v>
      </c>
      <c r="E186" s="52" t="s">
        <v>1482</v>
      </c>
      <c r="F186" s="52" t="s">
        <v>1478</v>
      </c>
      <c r="G186" s="52" t="s">
        <v>1471</v>
      </c>
      <c r="H186" s="52" t="s">
        <v>781</v>
      </c>
      <c r="I186" s="52" t="s">
        <v>1823</v>
      </c>
      <c r="J186" s="52">
        <v>14.0</v>
      </c>
      <c r="K186" s="52" t="s">
        <v>1473</v>
      </c>
      <c r="L186" s="52">
        <v>30.0</v>
      </c>
      <c r="M186" s="52">
        <v>18.0</v>
      </c>
      <c r="N186" s="52" t="s">
        <v>968</v>
      </c>
      <c r="O186" s="52" t="s">
        <v>1824</v>
      </c>
      <c r="P186" s="52" t="s">
        <v>587</v>
      </c>
      <c r="Q186" s="52" t="s">
        <v>1824</v>
      </c>
      <c r="R186" s="72">
        <v>-211533.0</v>
      </c>
      <c r="S186" s="52">
        <v>6.85368E7</v>
      </c>
      <c r="T186" s="52">
        <v>18825.0</v>
      </c>
      <c r="U186" s="52">
        <v>21725.0</v>
      </c>
      <c r="V186" s="52" t="s">
        <v>53</v>
      </c>
      <c r="W186" s="69">
        <v>45695.0</v>
      </c>
      <c r="X186" s="70">
        <v>46022.0</v>
      </c>
      <c r="Z186" s="70">
        <v>46022.0</v>
      </c>
      <c r="AA186" s="52" t="s">
        <v>42</v>
      </c>
    </row>
    <row r="187">
      <c r="A187" s="52">
        <v>185.0</v>
      </c>
      <c r="B187" s="52" t="s">
        <v>970</v>
      </c>
      <c r="C187" s="52" t="s">
        <v>972</v>
      </c>
      <c r="D187" s="52" t="s">
        <v>1482</v>
      </c>
      <c r="E187" s="52" t="s">
        <v>1482</v>
      </c>
      <c r="F187" s="52" t="s">
        <v>1478</v>
      </c>
      <c r="G187" s="52" t="s">
        <v>1471</v>
      </c>
      <c r="H187" s="52" t="s">
        <v>583</v>
      </c>
      <c r="I187" s="52" t="s">
        <v>1526</v>
      </c>
      <c r="J187" s="52">
        <v>14.0</v>
      </c>
      <c r="K187" s="52" t="s">
        <v>1473</v>
      </c>
      <c r="L187" s="52">
        <v>85.0</v>
      </c>
      <c r="M187" s="52">
        <v>17.0</v>
      </c>
      <c r="N187" s="52" t="s">
        <v>971</v>
      </c>
      <c r="O187" s="52" t="s">
        <v>1824</v>
      </c>
      <c r="P187" s="52" t="s">
        <v>587</v>
      </c>
      <c r="Q187" s="52" t="s">
        <v>1824</v>
      </c>
      <c r="R187" s="52">
        <v>-846133.0</v>
      </c>
      <c r="S187" s="52">
        <v>6.79022E7</v>
      </c>
      <c r="T187" s="52">
        <v>18925.0</v>
      </c>
      <c r="U187" s="52">
        <v>18925.0</v>
      </c>
      <c r="V187" s="52" t="s">
        <v>53</v>
      </c>
      <c r="W187" s="69">
        <v>45698.0</v>
      </c>
      <c r="X187" s="70">
        <v>46022.0</v>
      </c>
      <c r="Z187" s="70">
        <v>46022.0</v>
      </c>
      <c r="AA187" s="52" t="s">
        <v>42</v>
      </c>
    </row>
    <row r="188">
      <c r="A188" s="52">
        <v>186.0</v>
      </c>
      <c r="B188" s="52" t="s">
        <v>974</v>
      </c>
      <c r="C188" s="52" t="s">
        <v>976</v>
      </c>
      <c r="D188" s="52" t="s">
        <v>1482</v>
      </c>
      <c r="E188" s="52" t="s">
        <v>1482</v>
      </c>
      <c r="F188" s="52" t="s">
        <v>1478</v>
      </c>
      <c r="G188" s="52" t="s">
        <v>1471</v>
      </c>
      <c r="H188" s="52" t="s">
        <v>1030</v>
      </c>
      <c r="I188" s="52" t="s">
        <v>1825</v>
      </c>
      <c r="J188" s="52">
        <v>15.0</v>
      </c>
      <c r="K188" s="52" t="s">
        <v>1473</v>
      </c>
      <c r="L188" s="52">
        <v>29.0</v>
      </c>
      <c r="M188" s="52">
        <v>17.0</v>
      </c>
      <c r="N188" s="52" t="s">
        <v>975</v>
      </c>
      <c r="O188" s="52" t="s">
        <v>1811</v>
      </c>
      <c r="P188" s="52" t="s">
        <v>587</v>
      </c>
      <c r="Q188" s="52" t="s">
        <v>1811</v>
      </c>
      <c r="R188" s="52">
        <v>-243220.0</v>
      </c>
      <c r="S188" s="52">
        <v>7.880328E7</v>
      </c>
      <c r="T188" s="52">
        <v>18425.0</v>
      </c>
      <c r="U188" s="52">
        <v>21125.0</v>
      </c>
      <c r="V188" s="52" t="s">
        <v>351</v>
      </c>
      <c r="W188" s="69">
        <v>45695.0</v>
      </c>
      <c r="X188" s="70">
        <v>46022.0</v>
      </c>
      <c r="Z188" s="70">
        <v>46022.0</v>
      </c>
      <c r="AA188" s="52" t="s">
        <v>42</v>
      </c>
    </row>
    <row r="189">
      <c r="A189" s="52">
        <v>187.0</v>
      </c>
      <c r="B189" s="52" t="s">
        <v>977</v>
      </c>
      <c r="C189" s="52" t="s">
        <v>979</v>
      </c>
      <c r="D189" s="52" t="s">
        <v>1482</v>
      </c>
      <c r="E189" s="52" t="s">
        <v>1482</v>
      </c>
      <c r="F189" s="52" t="s">
        <v>1478</v>
      </c>
      <c r="G189" s="52" t="s">
        <v>1471</v>
      </c>
      <c r="H189" s="52" t="s">
        <v>583</v>
      </c>
      <c r="I189" s="52" t="s">
        <v>1826</v>
      </c>
      <c r="J189" s="52">
        <v>15.0</v>
      </c>
      <c r="K189" s="52" t="s">
        <v>1473</v>
      </c>
      <c r="L189" s="52">
        <v>33.0</v>
      </c>
      <c r="M189" s="52">
        <v>22.0</v>
      </c>
      <c r="N189" s="52" t="s">
        <v>978</v>
      </c>
      <c r="O189" s="52" t="s">
        <v>1811</v>
      </c>
      <c r="P189" s="52" t="s">
        <v>587</v>
      </c>
      <c r="Q189" s="52" t="s">
        <v>1811</v>
      </c>
      <c r="S189" s="52">
        <v>7.90465E7</v>
      </c>
      <c r="T189" s="52">
        <v>18525.0</v>
      </c>
      <c r="U189" s="52">
        <v>20525.0</v>
      </c>
      <c r="V189" s="52" t="s">
        <v>351</v>
      </c>
      <c r="W189" s="69">
        <v>45694.0</v>
      </c>
      <c r="X189" s="70">
        <v>46021.0</v>
      </c>
      <c r="Z189" s="70">
        <v>46021.0</v>
      </c>
      <c r="AA189" s="52" t="s">
        <v>42</v>
      </c>
    </row>
    <row r="190">
      <c r="A190" s="52">
        <v>188.0</v>
      </c>
      <c r="B190" s="52" t="s">
        <v>980</v>
      </c>
      <c r="C190" s="52" t="s">
        <v>982</v>
      </c>
      <c r="D190" s="52" t="s">
        <v>1788</v>
      </c>
      <c r="E190" s="52" t="s">
        <v>1497</v>
      </c>
      <c r="F190" s="52" t="s">
        <v>1478</v>
      </c>
      <c r="G190" s="52" t="s">
        <v>1471</v>
      </c>
      <c r="H190" s="52" t="s">
        <v>1030</v>
      </c>
      <c r="I190" s="52" t="s">
        <v>1600</v>
      </c>
      <c r="J190" s="52">
        <v>13.0</v>
      </c>
      <c r="K190" s="52" t="s">
        <v>1473</v>
      </c>
      <c r="L190" s="52">
        <v>31.0</v>
      </c>
      <c r="M190" s="52">
        <v>21.0</v>
      </c>
      <c r="N190" s="52" t="s">
        <v>981</v>
      </c>
      <c r="O190" s="52" t="s">
        <v>1827</v>
      </c>
      <c r="P190" s="52" t="s">
        <v>587</v>
      </c>
      <c r="Q190" s="52" t="s">
        <v>1827</v>
      </c>
      <c r="S190" s="52">
        <v>6.2E7</v>
      </c>
      <c r="T190" s="52">
        <v>23625.0</v>
      </c>
      <c r="U190" s="52">
        <v>21025.0</v>
      </c>
      <c r="V190" s="52" t="s">
        <v>77</v>
      </c>
      <c r="W190" s="69">
        <v>45695.0</v>
      </c>
      <c r="X190" s="70">
        <v>45997.0</v>
      </c>
      <c r="Z190" s="70">
        <v>45997.0</v>
      </c>
      <c r="AA190" s="52" t="s">
        <v>42</v>
      </c>
    </row>
    <row r="191">
      <c r="A191" s="52">
        <v>189.0</v>
      </c>
      <c r="B191" s="52" t="s">
        <v>983</v>
      </c>
      <c r="C191" s="52" t="s">
        <v>985</v>
      </c>
      <c r="D191" s="52" t="s">
        <v>1705</v>
      </c>
      <c r="E191" s="52" t="s">
        <v>1503</v>
      </c>
      <c r="F191" s="52" t="s">
        <v>1478</v>
      </c>
      <c r="G191" s="52" t="s">
        <v>1471</v>
      </c>
      <c r="H191" s="52" t="s">
        <v>1030</v>
      </c>
      <c r="I191" s="52" t="s">
        <v>1472</v>
      </c>
      <c r="J191" s="52">
        <v>22.0</v>
      </c>
      <c r="K191" s="52" t="s">
        <v>1473</v>
      </c>
      <c r="L191" s="52">
        <v>65.0</v>
      </c>
      <c r="M191" s="52">
        <v>47.0</v>
      </c>
      <c r="N191" s="52" t="s">
        <v>984</v>
      </c>
      <c r="O191" s="52" t="s">
        <v>1828</v>
      </c>
      <c r="P191" s="52" t="s">
        <v>587</v>
      </c>
      <c r="Q191" s="52" t="s">
        <v>1828</v>
      </c>
      <c r="R191" s="52" t="s">
        <v>1829</v>
      </c>
      <c r="S191" s="52">
        <v>1.2540204E8</v>
      </c>
      <c r="T191" s="52">
        <v>23525.0</v>
      </c>
      <c r="U191" s="52">
        <v>20725.0</v>
      </c>
      <c r="V191" s="52" t="s">
        <v>111</v>
      </c>
      <c r="W191" s="69">
        <v>45695.0</v>
      </c>
      <c r="X191" s="70">
        <v>45906.0</v>
      </c>
      <c r="Y191" s="52">
        <v>114.0</v>
      </c>
      <c r="Z191" s="70">
        <v>46022.0</v>
      </c>
      <c r="AA191" s="52" t="s">
        <v>42</v>
      </c>
    </row>
    <row r="192">
      <c r="A192" s="52">
        <v>190.0</v>
      </c>
      <c r="B192" s="52" t="s">
        <v>986</v>
      </c>
      <c r="C192" s="52" t="s">
        <v>988</v>
      </c>
      <c r="D192" s="52" t="s">
        <v>1487</v>
      </c>
      <c r="E192" s="52" t="s">
        <v>1482</v>
      </c>
      <c r="F192" s="52" t="s">
        <v>1478</v>
      </c>
      <c r="G192" s="52" t="s">
        <v>1471</v>
      </c>
      <c r="H192" s="52" t="s">
        <v>781</v>
      </c>
      <c r="I192" s="52" t="s">
        <v>1731</v>
      </c>
      <c r="J192" s="52">
        <v>10.0</v>
      </c>
      <c r="K192" s="52" t="s">
        <v>1483</v>
      </c>
      <c r="L192" s="52">
        <v>30.0</v>
      </c>
      <c r="M192" s="52">
        <v>30.0</v>
      </c>
      <c r="N192" s="52" t="s">
        <v>987</v>
      </c>
      <c r="O192" s="52" t="s">
        <v>1830</v>
      </c>
      <c r="P192" s="52" t="s">
        <v>587</v>
      </c>
      <c r="Q192" s="52" t="s">
        <v>1830</v>
      </c>
      <c r="S192" s="52">
        <v>5.46455E7</v>
      </c>
      <c r="T192" s="52">
        <v>23825.0</v>
      </c>
      <c r="U192" s="52">
        <v>22425.0</v>
      </c>
      <c r="V192" s="52" t="s">
        <v>53</v>
      </c>
      <c r="W192" s="69">
        <v>45702.0</v>
      </c>
      <c r="X192" s="70">
        <v>46022.0</v>
      </c>
      <c r="Z192" s="70">
        <v>46022.0</v>
      </c>
      <c r="AA192" s="52" t="s">
        <v>42</v>
      </c>
    </row>
    <row r="193">
      <c r="A193" s="52">
        <v>191.0</v>
      </c>
      <c r="B193" s="52" t="s">
        <v>989</v>
      </c>
      <c r="C193" s="52" t="s">
        <v>1831</v>
      </c>
      <c r="D193" s="52" t="s">
        <v>1489</v>
      </c>
      <c r="E193" s="52" t="s">
        <v>1489</v>
      </c>
      <c r="F193" s="52" t="s">
        <v>1478</v>
      </c>
      <c r="G193" s="52" t="s">
        <v>1471</v>
      </c>
      <c r="H193" s="52" t="s">
        <v>781</v>
      </c>
      <c r="I193" s="52" t="s">
        <v>1526</v>
      </c>
      <c r="J193" s="52">
        <v>16.0</v>
      </c>
      <c r="K193" s="52" t="s">
        <v>1483</v>
      </c>
      <c r="L193" s="52">
        <v>15.0</v>
      </c>
      <c r="M193" s="52">
        <v>15.0</v>
      </c>
      <c r="N193" s="52" t="s">
        <v>990</v>
      </c>
      <c r="O193" s="52" t="s">
        <v>1486</v>
      </c>
      <c r="P193" s="52" t="s">
        <v>587</v>
      </c>
      <c r="Q193" s="52" t="s">
        <v>1486</v>
      </c>
      <c r="S193" s="52">
        <v>4.2E7</v>
      </c>
      <c r="T193" s="52">
        <v>22425.0</v>
      </c>
      <c r="U193" s="52">
        <v>22025.0</v>
      </c>
      <c r="V193" s="52" t="s">
        <v>367</v>
      </c>
      <c r="W193" s="69">
        <v>45698.0</v>
      </c>
      <c r="X193" s="70">
        <v>46015.0</v>
      </c>
      <c r="Z193" s="70">
        <v>46015.0</v>
      </c>
      <c r="AA193" s="52" t="s">
        <v>42</v>
      </c>
    </row>
    <row r="194">
      <c r="A194" s="52">
        <v>192.0</v>
      </c>
      <c r="B194" s="52" t="s">
        <v>993</v>
      </c>
      <c r="C194" s="52" t="s">
        <v>995</v>
      </c>
      <c r="D194" s="52" t="s">
        <v>1489</v>
      </c>
      <c r="E194" s="52" t="s">
        <v>1489</v>
      </c>
      <c r="F194" s="52" t="s">
        <v>1478</v>
      </c>
      <c r="G194" s="52" t="s">
        <v>1471</v>
      </c>
      <c r="H194" s="52" t="s">
        <v>1030</v>
      </c>
      <c r="I194" s="52" t="s">
        <v>1526</v>
      </c>
      <c r="J194" s="52">
        <v>17.0</v>
      </c>
      <c r="K194" s="52" t="s">
        <v>1473</v>
      </c>
      <c r="L194" s="52">
        <v>34.0</v>
      </c>
      <c r="M194" s="52">
        <v>31.0</v>
      </c>
      <c r="N194" s="52" t="s">
        <v>994</v>
      </c>
      <c r="O194" s="52" t="s">
        <v>1832</v>
      </c>
      <c r="P194" s="52" t="s">
        <v>587</v>
      </c>
      <c r="Q194" s="52" t="s">
        <v>1832</v>
      </c>
      <c r="R194" s="52">
        <v>-266667.0</v>
      </c>
      <c r="S194" s="52">
        <v>8.56E7</v>
      </c>
      <c r="T194" s="52">
        <v>22725.0</v>
      </c>
      <c r="U194" s="52">
        <v>22525.0</v>
      </c>
      <c r="V194" s="52" t="s">
        <v>67</v>
      </c>
      <c r="W194" s="69">
        <v>45698.0</v>
      </c>
      <c r="X194" s="70">
        <v>46022.0</v>
      </c>
      <c r="Z194" s="70">
        <v>46022.0</v>
      </c>
      <c r="AA194" s="52" t="s">
        <v>42</v>
      </c>
    </row>
    <row r="195">
      <c r="A195" s="52">
        <v>193.0</v>
      </c>
      <c r="B195" s="52" t="s">
        <v>996</v>
      </c>
      <c r="C195" s="52" t="s">
        <v>998</v>
      </c>
      <c r="D195" s="52" t="s">
        <v>1469</v>
      </c>
      <c r="E195" s="52" t="s">
        <v>1469</v>
      </c>
      <c r="F195" s="52" t="s">
        <v>1470</v>
      </c>
      <c r="G195" s="52" t="s">
        <v>1471</v>
      </c>
      <c r="H195" s="52" t="s">
        <v>1030</v>
      </c>
      <c r="I195" s="52" t="s">
        <v>1472</v>
      </c>
      <c r="J195" s="52">
        <v>20.0</v>
      </c>
      <c r="K195" s="52" t="s">
        <v>1473</v>
      </c>
      <c r="L195" s="52">
        <v>81.0</v>
      </c>
      <c r="M195" s="52">
        <v>28.0</v>
      </c>
      <c r="N195" s="52" t="s">
        <v>997</v>
      </c>
      <c r="O195" s="52" t="s">
        <v>1833</v>
      </c>
      <c r="P195" s="52" t="s">
        <v>587</v>
      </c>
      <c r="Q195" s="52" t="s">
        <v>1833</v>
      </c>
      <c r="S195" s="52">
        <v>1.04843375E8</v>
      </c>
      <c r="T195" s="52">
        <v>22225.0</v>
      </c>
      <c r="U195" s="52">
        <v>23025.0</v>
      </c>
      <c r="V195" s="52" t="s">
        <v>38</v>
      </c>
      <c r="W195" s="69">
        <v>45700.0</v>
      </c>
      <c r="X195" s="70">
        <v>46022.0</v>
      </c>
      <c r="Z195" s="70">
        <v>46022.0</v>
      </c>
      <c r="AA195" s="52" t="s">
        <v>42</v>
      </c>
    </row>
    <row r="196">
      <c r="A196" s="52">
        <v>194.0</v>
      </c>
      <c r="B196" s="52" t="s">
        <v>999</v>
      </c>
      <c r="C196" s="52" t="s">
        <v>1001</v>
      </c>
      <c r="D196" s="52" t="s">
        <v>1513</v>
      </c>
      <c r="E196" s="52" t="s">
        <v>1469</v>
      </c>
      <c r="F196" s="52" t="s">
        <v>1470</v>
      </c>
      <c r="G196" s="52" t="s">
        <v>1471</v>
      </c>
      <c r="H196" s="52" t="s">
        <v>583</v>
      </c>
      <c r="I196" s="52" t="s">
        <v>1834</v>
      </c>
      <c r="J196" s="52">
        <v>12.0</v>
      </c>
      <c r="K196" s="52" t="s">
        <v>1473</v>
      </c>
      <c r="L196" s="52">
        <v>169.0</v>
      </c>
      <c r="M196" s="52">
        <v>16.0</v>
      </c>
      <c r="N196" s="52" t="s">
        <v>1000</v>
      </c>
      <c r="O196" s="52" t="s">
        <v>1627</v>
      </c>
      <c r="P196" s="52" t="s">
        <v>587</v>
      </c>
      <c r="Q196" s="52" t="s">
        <v>1627</v>
      </c>
      <c r="S196" s="52">
        <v>4.95E7</v>
      </c>
      <c r="T196" s="52">
        <v>22025.0</v>
      </c>
      <c r="U196" s="52">
        <v>22025.0</v>
      </c>
      <c r="V196" s="52" t="s">
        <v>91</v>
      </c>
      <c r="W196" s="69">
        <v>45698.0</v>
      </c>
      <c r="X196" s="70">
        <v>45970.0</v>
      </c>
      <c r="Z196" s="70">
        <v>45970.0</v>
      </c>
      <c r="AA196" s="52" t="s">
        <v>42</v>
      </c>
    </row>
    <row r="197">
      <c r="A197" s="52">
        <v>195.0</v>
      </c>
      <c r="B197" s="52" t="s">
        <v>1003</v>
      </c>
      <c r="C197" s="52" t="s">
        <v>1004</v>
      </c>
      <c r="D197" s="52" t="s">
        <v>1513</v>
      </c>
      <c r="E197" s="52" t="s">
        <v>1469</v>
      </c>
      <c r="F197" s="52" t="s">
        <v>1478</v>
      </c>
      <c r="G197" s="52" t="s">
        <v>1471</v>
      </c>
      <c r="H197" s="52" t="s">
        <v>1030</v>
      </c>
      <c r="I197" s="52" t="s">
        <v>1573</v>
      </c>
      <c r="J197" s="52">
        <v>17.0</v>
      </c>
      <c r="K197" s="52" t="s">
        <v>1473</v>
      </c>
      <c r="L197" s="52">
        <v>85.0</v>
      </c>
      <c r="M197" s="52">
        <v>76.0</v>
      </c>
      <c r="N197" s="52" t="s">
        <v>1000</v>
      </c>
      <c r="O197" s="52" t="s">
        <v>1835</v>
      </c>
      <c r="P197" s="52" t="s">
        <v>587</v>
      </c>
      <c r="Q197" s="52" t="s">
        <v>1835</v>
      </c>
      <c r="S197" s="52">
        <v>8.498154E7</v>
      </c>
      <c r="T197" s="52">
        <v>20325.0</v>
      </c>
      <c r="U197" s="52">
        <v>22325.0</v>
      </c>
      <c r="V197" s="52" t="s">
        <v>313</v>
      </c>
      <c r="W197" s="69">
        <v>45698.0</v>
      </c>
      <c r="X197" s="70">
        <v>46022.0</v>
      </c>
      <c r="Z197" s="70">
        <v>46022.0</v>
      </c>
      <c r="AA197" s="52" t="s">
        <v>42</v>
      </c>
    </row>
    <row r="198">
      <c r="A198" s="52">
        <v>196.0</v>
      </c>
      <c r="B198" s="52" t="s">
        <v>1006</v>
      </c>
      <c r="C198" s="52" t="s">
        <v>1008</v>
      </c>
      <c r="D198" s="52" t="s">
        <v>1513</v>
      </c>
      <c r="E198" s="52" t="s">
        <v>1469</v>
      </c>
      <c r="F198" s="52" t="s">
        <v>1470</v>
      </c>
      <c r="G198" s="52" t="s">
        <v>1471</v>
      </c>
      <c r="H198" s="52" t="s">
        <v>1030</v>
      </c>
      <c r="I198" s="52" t="s">
        <v>1600</v>
      </c>
      <c r="J198" s="52">
        <v>14.0</v>
      </c>
      <c r="K198" s="52" t="s">
        <v>1473</v>
      </c>
      <c r="L198" s="52">
        <v>94.0</v>
      </c>
      <c r="M198" s="52">
        <v>17.0</v>
      </c>
      <c r="N198" s="52" t="s">
        <v>1007</v>
      </c>
      <c r="O198" s="52" t="s">
        <v>1836</v>
      </c>
      <c r="P198" s="52" t="s">
        <v>587</v>
      </c>
      <c r="Q198" s="52" t="s">
        <v>1836</v>
      </c>
      <c r="S198" s="52">
        <v>6.537825E7</v>
      </c>
      <c r="T198" s="52">
        <v>22625.0</v>
      </c>
      <c r="U198" s="52">
        <v>23125.0</v>
      </c>
      <c r="V198" s="52" t="s">
        <v>91</v>
      </c>
      <c r="W198" s="69">
        <v>45701.0</v>
      </c>
      <c r="X198" s="70">
        <v>46018.0</v>
      </c>
      <c r="Z198" s="70">
        <v>46018.0</v>
      </c>
      <c r="AA198" s="52" t="s">
        <v>42</v>
      </c>
    </row>
    <row r="199">
      <c r="A199" s="52">
        <v>197.0</v>
      </c>
      <c r="B199" s="52" t="s">
        <v>1010</v>
      </c>
      <c r="C199" s="52" t="s">
        <v>1012</v>
      </c>
      <c r="D199" s="52" t="s">
        <v>1705</v>
      </c>
      <c r="E199" s="52" t="s">
        <v>1482</v>
      </c>
      <c r="F199" s="52" t="s">
        <v>1478</v>
      </c>
      <c r="G199" s="52" t="s">
        <v>1471</v>
      </c>
      <c r="H199" s="52" t="s">
        <v>1030</v>
      </c>
      <c r="I199" s="52" t="s">
        <v>1479</v>
      </c>
      <c r="J199" s="52">
        <v>2.0</v>
      </c>
      <c r="K199" s="52" t="s">
        <v>1483</v>
      </c>
      <c r="L199" s="52">
        <v>17.0</v>
      </c>
      <c r="M199" s="52">
        <v>8.0</v>
      </c>
      <c r="N199" s="52" t="s">
        <v>1011</v>
      </c>
      <c r="O199" s="52" t="s">
        <v>1837</v>
      </c>
      <c r="P199" s="52" t="s">
        <v>587</v>
      </c>
      <c r="Q199" s="52" t="s">
        <v>1837</v>
      </c>
      <c r="R199" s="71">
        <v>-770000.0</v>
      </c>
      <c r="S199" s="52">
        <v>3.498E7</v>
      </c>
      <c r="T199" s="52">
        <v>23925.0</v>
      </c>
      <c r="U199" s="52">
        <v>22725.0</v>
      </c>
      <c r="V199" s="52" t="s">
        <v>53</v>
      </c>
      <c r="W199" s="69">
        <v>45701.0</v>
      </c>
      <c r="X199" s="70">
        <v>46022.0</v>
      </c>
      <c r="Z199" s="70">
        <v>46022.0</v>
      </c>
      <c r="AA199" s="52" t="s">
        <v>42</v>
      </c>
    </row>
    <row r="200">
      <c r="A200" s="52">
        <v>198.0</v>
      </c>
      <c r="B200" s="52" t="s">
        <v>1838</v>
      </c>
      <c r="C200" s="52" t="s">
        <v>1016</v>
      </c>
      <c r="D200" s="52" t="s">
        <v>1513</v>
      </c>
      <c r="E200" s="52" t="s">
        <v>1469</v>
      </c>
      <c r="F200" s="52" t="s">
        <v>1470</v>
      </c>
      <c r="G200" s="52" t="s">
        <v>1471</v>
      </c>
      <c r="H200" s="52" t="s">
        <v>1030</v>
      </c>
      <c r="I200" s="52" t="s">
        <v>1744</v>
      </c>
      <c r="J200" s="52">
        <v>18.0</v>
      </c>
      <c r="K200" s="52" t="s">
        <v>1473</v>
      </c>
      <c r="L200" s="52">
        <v>115.0</v>
      </c>
      <c r="M200" s="52">
        <v>41.0</v>
      </c>
      <c r="N200" s="52" t="s">
        <v>1015</v>
      </c>
      <c r="O200" s="52" t="s">
        <v>1839</v>
      </c>
      <c r="P200" s="52" t="s">
        <v>587</v>
      </c>
      <c r="Q200" s="52" t="s">
        <v>1839</v>
      </c>
      <c r="S200" s="52">
        <v>9.2555E7</v>
      </c>
      <c r="T200" s="52">
        <v>21325.0</v>
      </c>
      <c r="U200" s="52">
        <v>22625.0</v>
      </c>
      <c r="V200" s="52" t="s">
        <v>91</v>
      </c>
      <c r="W200" s="69">
        <v>45700.0</v>
      </c>
      <c r="X200" s="70">
        <v>46022.0</v>
      </c>
      <c r="Z200" s="70">
        <v>46022.0</v>
      </c>
      <c r="AA200" s="52" t="s">
        <v>42</v>
      </c>
    </row>
    <row r="201">
      <c r="A201" s="52">
        <v>199.0</v>
      </c>
      <c r="B201" s="52" t="s">
        <v>1022</v>
      </c>
      <c r="C201" s="52" t="s">
        <v>1840</v>
      </c>
      <c r="D201" s="52" t="s">
        <v>1705</v>
      </c>
      <c r="E201" s="52" t="s">
        <v>1520</v>
      </c>
      <c r="F201" s="52" t="s">
        <v>1478</v>
      </c>
      <c r="G201" s="52" t="s">
        <v>1471</v>
      </c>
      <c r="H201" s="52" t="s">
        <v>1030</v>
      </c>
      <c r="I201" s="52" t="s">
        <v>1479</v>
      </c>
      <c r="J201" s="52">
        <v>20.0</v>
      </c>
      <c r="K201" s="52" t="s">
        <v>1473</v>
      </c>
      <c r="L201" s="52">
        <v>100.0</v>
      </c>
      <c r="M201" s="52">
        <v>81.0</v>
      </c>
      <c r="N201" s="52" t="s">
        <v>1023</v>
      </c>
      <c r="O201" s="52" t="s">
        <v>1841</v>
      </c>
      <c r="P201" s="52" t="s">
        <v>1842</v>
      </c>
      <c r="Q201" s="52" t="s">
        <v>1843</v>
      </c>
      <c r="S201" s="52">
        <v>7.99E7</v>
      </c>
      <c r="T201" s="52">
        <v>23025.0</v>
      </c>
      <c r="U201" s="52">
        <v>22825.0</v>
      </c>
      <c r="V201" s="52" t="s">
        <v>77</v>
      </c>
      <c r="W201" s="69">
        <v>45700.0</v>
      </c>
      <c r="X201" s="70">
        <v>46022.0</v>
      </c>
      <c r="Z201" s="70">
        <v>46022.0</v>
      </c>
      <c r="AA201" s="52" t="s">
        <v>42</v>
      </c>
    </row>
    <row r="202">
      <c r="A202" s="52">
        <v>200.0</v>
      </c>
      <c r="B202" s="52" t="s">
        <v>1026</v>
      </c>
      <c r="C202" s="52" t="s">
        <v>1028</v>
      </c>
      <c r="D202" s="52" t="s">
        <v>1497</v>
      </c>
      <c r="E202" s="52" t="s">
        <v>1497</v>
      </c>
      <c r="F202" s="52" t="s">
        <v>1478</v>
      </c>
      <c r="G202" s="52" t="s">
        <v>1471</v>
      </c>
      <c r="H202" s="52" t="s">
        <v>1030</v>
      </c>
      <c r="I202" s="52" t="s">
        <v>1844</v>
      </c>
      <c r="J202" s="52">
        <v>15.0</v>
      </c>
      <c r="K202" s="52" t="s">
        <v>1473</v>
      </c>
      <c r="L202" s="52">
        <v>34.0</v>
      </c>
      <c r="M202" s="52">
        <v>24.0</v>
      </c>
      <c r="N202" s="52" t="s">
        <v>1027</v>
      </c>
      <c r="O202" s="52" t="s">
        <v>1845</v>
      </c>
      <c r="P202" s="52" t="s">
        <v>587</v>
      </c>
      <c r="Q202" s="52" t="s">
        <v>1845</v>
      </c>
      <c r="S202" s="52">
        <v>9.67785E7</v>
      </c>
      <c r="T202" s="52">
        <v>22925.0</v>
      </c>
      <c r="U202" s="52">
        <v>22925.0</v>
      </c>
      <c r="V202" s="52" t="s">
        <v>152</v>
      </c>
      <c r="W202" s="69">
        <v>45700.0</v>
      </c>
      <c r="X202" s="70">
        <v>46002.0</v>
      </c>
      <c r="Z202" s="70">
        <v>46002.0</v>
      </c>
      <c r="AA202" s="52" t="s">
        <v>42</v>
      </c>
    </row>
    <row r="203">
      <c r="A203" s="52">
        <v>201.0</v>
      </c>
      <c r="B203" s="52" t="s">
        <v>1031</v>
      </c>
      <c r="C203" s="52" t="s">
        <v>1033</v>
      </c>
      <c r="D203" s="52" t="s">
        <v>1477</v>
      </c>
      <c r="E203" s="52" t="s">
        <v>1487</v>
      </c>
      <c r="F203" s="52" t="s">
        <v>1478</v>
      </c>
      <c r="G203" s="52" t="s">
        <v>1555</v>
      </c>
      <c r="H203" s="52" t="s">
        <v>1030</v>
      </c>
      <c r="I203" s="52" t="s">
        <v>1556</v>
      </c>
      <c r="J203" s="52" t="s">
        <v>1556</v>
      </c>
      <c r="K203" s="52" t="s">
        <v>1556</v>
      </c>
      <c r="L203" s="52" t="s">
        <v>1556</v>
      </c>
      <c r="M203" s="52" t="s">
        <v>1556</v>
      </c>
      <c r="N203" s="52" t="s">
        <v>1032</v>
      </c>
      <c r="O203" s="52" t="s">
        <v>1846</v>
      </c>
      <c r="P203" s="52" t="s">
        <v>587</v>
      </c>
      <c r="Q203" s="52" t="s">
        <v>1846</v>
      </c>
      <c r="S203" s="52">
        <v>2.5259892E7</v>
      </c>
      <c r="T203" s="52">
        <v>16725.0</v>
      </c>
      <c r="U203" s="52">
        <v>25125.0</v>
      </c>
      <c r="V203" s="52" t="s">
        <v>197</v>
      </c>
      <c r="W203" s="69">
        <v>45720.0</v>
      </c>
      <c r="X203" s="70">
        <v>45964.0</v>
      </c>
      <c r="Z203" s="70">
        <v>45964.0</v>
      </c>
      <c r="AA203" s="52" t="s">
        <v>42</v>
      </c>
    </row>
    <row r="204">
      <c r="A204" s="52">
        <v>202.0</v>
      </c>
      <c r="B204" s="52" t="s">
        <v>1035</v>
      </c>
      <c r="C204" s="52" t="s">
        <v>1037</v>
      </c>
      <c r="D204" s="52" t="s">
        <v>1497</v>
      </c>
      <c r="E204" s="52" t="s">
        <v>1497</v>
      </c>
      <c r="F204" s="52" t="s">
        <v>1478</v>
      </c>
      <c r="G204" s="52" t="s">
        <v>1471</v>
      </c>
      <c r="H204" s="52" t="s">
        <v>781</v>
      </c>
      <c r="I204" s="52" t="s">
        <v>1847</v>
      </c>
      <c r="J204" s="52">
        <v>18.0</v>
      </c>
      <c r="K204" s="52" t="s">
        <v>1483</v>
      </c>
      <c r="L204" s="52">
        <v>32.0</v>
      </c>
      <c r="M204" s="52">
        <v>0.0</v>
      </c>
      <c r="N204" s="52" t="s">
        <v>1036</v>
      </c>
      <c r="O204" s="52" t="s">
        <v>1848</v>
      </c>
      <c r="P204" s="52" t="s">
        <v>587</v>
      </c>
      <c r="Q204" s="52" t="s">
        <v>1848</v>
      </c>
      <c r="S204" s="52">
        <v>4.725E7</v>
      </c>
      <c r="T204" s="52">
        <v>23725.0</v>
      </c>
      <c r="U204" s="52">
        <v>23525.0</v>
      </c>
      <c r="V204" s="52" t="s">
        <v>77</v>
      </c>
      <c r="W204" s="69">
        <v>45701.0</v>
      </c>
      <c r="X204" s="70">
        <v>46018.0</v>
      </c>
      <c r="Z204" s="70">
        <v>46018.0</v>
      </c>
      <c r="AA204" s="52" t="s">
        <v>42</v>
      </c>
    </row>
    <row r="205">
      <c r="A205" s="52">
        <v>203.0</v>
      </c>
      <c r="B205" s="52" t="s">
        <v>1039</v>
      </c>
      <c r="C205" s="52" t="s">
        <v>1849</v>
      </c>
      <c r="D205" s="52" t="s">
        <v>1469</v>
      </c>
      <c r="E205" s="52" t="s">
        <v>1469</v>
      </c>
      <c r="F205" s="52" t="s">
        <v>1470</v>
      </c>
      <c r="G205" s="52" t="s">
        <v>1471</v>
      </c>
      <c r="H205" s="52" t="s">
        <v>1030</v>
      </c>
      <c r="I205" s="52" t="s">
        <v>1526</v>
      </c>
      <c r="J205" s="52">
        <v>2.0</v>
      </c>
      <c r="K205" s="52" t="s">
        <v>1483</v>
      </c>
      <c r="L205" s="52">
        <v>62.0</v>
      </c>
      <c r="M205" s="52">
        <v>47.0</v>
      </c>
      <c r="N205" s="52" t="s">
        <v>841</v>
      </c>
      <c r="O205" s="52" t="s">
        <v>1850</v>
      </c>
      <c r="P205" s="52" t="s">
        <v>587</v>
      </c>
      <c r="Q205" s="52" t="s">
        <v>1850</v>
      </c>
      <c r="R205" s="71">
        <v>-219030.0</v>
      </c>
      <c r="S205" s="52">
        <v>3.482577E7</v>
      </c>
      <c r="T205" s="52">
        <v>22525.0</v>
      </c>
      <c r="U205" s="52">
        <v>23825.0</v>
      </c>
      <c r="V205" s="52" t="s">
        <v>91</v>
      </c>
      <c r="W205" s="69">
        <v>45701.0</v>
      </c>
      <c r="X205" s="70">
        <v>46022.0</v>
      </c>
      <c r="Z205" s="70">
        <v>46022.0</v>
      </c>
      <c r="AA205" s="52" t="s">
        <v>42</v>
      </c>
    </row>
    <row r="206">
      <c r="A206" s="52">
        <v>204.0</v>
      </c>
      <c r="B206" s="52" t="s">
        <v>1042</v>
      </c>
      <c r="C206" s="52" t="s">
        <v>1044</v>
      </c>
      <c r="D206" s="52" t="s">
        <v>1497</v>
      </c>
      <c r="E206" s="52" t="s">
        <v>1497</v>
      </c>
      <c r="F206" s="52" t="s">
        <v>1478</v>
      </c>
      <c r="G206" s="52" t="s">
        <v>1471</v>
      </c>
      <c r="H206" s="52" t="s">
        <v>1030</v>
      </c>
      <c r="I206" s="52" t="s">
        <v>1834</v>
      </c>
      <c r="J206" s="52">
        <v>16.0</v>
      </c>
      <c r="K206" s="52" t="s">
        <v>1473</v>
      </c>
      <c r="L206" s="52">
        <v>62.0</v>
      </c>
      <c r="M206" s="52">
        <v>47.0</v>
      </c>
      <c r="N206" s="52" t="s">
        <v>1043</v>
      </c>
      <c r="O206" s="52" t="s">
        <v>1851</v>
      </c>
      <c r="P206" s="52" t="s">
        <v>1852</v>
      </c>
      <c r="Q206" s="52" t="s">
        <v>1853</v>
      </c>
      <c r="S206" s="52">
        <v>8.56E7</v>
      </c>
      <c r="T206" s="52">
        <v>22825.0</v>
      </c>
      <c r="U206" s="52">
        <v>23925.0</v>
      </c>
      <c r="V206" s="52" t="s">
        <v>77</v>
      </c>
      <c r="W206" s="69">
        <v>45701.0</v>
      </c>
      <c r="X206" s="70">
        <v>46022.0</v>
      </c>
      <c r="Z206" s="70">
        <v>46022.0</v>
      </c>
      <c r="AA206" s="52" t="s">
        <v>42</v>
      </c>
    </row>
    <row r="207">
      <c r="A207" s="52">
        <v>205.0</v>
      </c>
      <c r="B207" s="52" t="s">
        <v>1046</v>
      </c>
      <c r="C207" s="52" t="s">
        <v>1048</v>
      </c>
      <c r="D207" s="52" t="s">
        <v>1497</v>
      </c>
      <c r="E207" s="52" t="s">
        <v>1497</v>
      </c>
      <c r="F207" s="52" t="s">
        <v>1478</v>
      </c>
      <c r="G207" s="52" t="s">
        <v>1471</v>
      </c>
      <c r="H207" s="52" t="s">
        <v>1030</v>
      </c>
      <c r="I207" s="52" t="s">
        <v>1724</v>
      </c>
      <c r="J207" s="52">
        <v>13.0</v>
      </c>
      <c r="K207" s="52" t="s">
        <v>1473</v>
      </c>
      <c r="L207" s="52">
        <v>25.0</v>
      </c>
      <c r="M207" s="52">
        <v>13.0</v>
      </c>
      <c r="N207" s="52" t="s">
        <v>1047</v>
      </c>
      <c r="O207" s="52" t="s">
        <v>1585</v>
      </c>
      <c r="P207" s="52" t="s">
        <v>1854</v>
      </c>
      <c r="Q207" s="52" t="s">
        <v>1855</v>
      </c>
      <c r="S207" s="52">
        <v>6.8466667E7</v>
      </c>
      <c r="T207" s="52">
        <v>25325.0</v>
      </c>
      <c r="U207" s="52">
        <v>23625.0</v>
      </c>
      <c r="V207" s="52" t="s">
        <v>98</v>
      </c>
      <c r="W207" s="69">
        <v>45701.0</v>
      </c>
      <c r="X207" s="70">
        <v>46018.0</v>
      </c>
      <c r="Z207" s="70">
        <v>46018.0</v>
      </c>
      <c r="AA207" s="52" t="s">
        <v>42</v>
      </c>
    </row>
    <row r="208">
      <c r="A208" s="52">
        <v>206.0</v>
      </c>
      <c r="B208" s="52" t="s">
        <v>1054</v>
      </c>
      <c r="C208" s="52" t="s">
        <v>1056</v>
      </c>
      <c r="D208" s="52" t="s">
        <v>1513</v>
      </c>
      <c r="E208" s="52" t="s">
        <v>1513</v>
      </c>
      <c r="F208" s="52" t="s">
        <v>1478</v>
      </c>
      <c r="G208" s="52" t="s">
        <v>1471</v>
      </c>
      <c r="H208" s="52" t="s">
        <v>583</v>
      </c>
      <c r="I208" s="52" t="s">
        <v>1507</v>
      </c>
      <c r="J208" s="52">
        <v>12.0</v>
      </c>
      <c r="K208" s="52" t="s">
        <v>1473</v>
      </c>
      <c r="L208" s="52">
        <v>20.0</v>
      </c>
      <c r="M208" s="52">
        <v>16.0</v>
      </c>
      <c r="N208" s="52" t="s">
        <v>1055</v>
      </c>
      <c r="O208" s="52" t="s">
        <v>1856</v>
      </c>
      <c r="P208" s="52" t="s">
        <v>587</v>
      </c>
      <c r="Q208" s="52" t="s">
        <v>1856</v>
      </c>
      <c r="R208" s="72">
        <v>-183333.0</v>
      </c>
      <c r="S208" s="52">
        <v>5.8116667E7</v>
      </c>
      <c r="T208" s="52">
        <v>24325.0</v>
      </c>
      <c r="U208" s="52">
        <v>24025.0</v>
      </c>
      <c r="V208" s="52" t="s">
        <v>203</v>
      </c>
      <c r="W208" s="69">
        <v>45702.0</v>
      </c>
      <c r="X208" s="70">
        <v>46021.0</v>
      </c>
      <c r="Z208" s="70">
        <v>46021.0</v>
      </c>
      <c r="AA208" s="52" t="s">
        <v>42</v>
      </c>
    </row>
    <row r="209">
      <c r="A209" s="52">
        <v>207.0</v>
      </c>
      <c r="B209" s="52" t="s">
        <v>1058</v>
      </c>
      <c r="C209" s="52" t="s">
        <v>1060</v>
      </c>
      <c r="D209" s="52" t="s">
        <v>1520</v>
      </c>
      <c r="E209" s="52" t="s">
        <v>1497</v>
      </c>
      <c r="F209" s="52" t="s">
        <v>1478</v>
      </c>
      <c r="G209" s="52" t="s">
        <v>1471</v>
      </c>
      <c r="H209" s="52" t="s">
        <v>1030</v>
      </c>
      <c r="I209" s="52" t="s">
        <v>1757</v>
      </c>
      <c r="J209" s="52">
        <v>16.0</v>
      </c>
      <c r="K209" s="52" t="s">
        <v>1473</v>
      </c>
      <c r="L209" s="52">
        <v>33.0</v>
      </c>
      <c r="M209" s="52">
        <v>23.0</v>
      </c>
      <c r="N209" s="52" t="s">
        <v>1059</v>
      </c>
      <c r="O209" s="52" t="s">
        <v>1857</v>
      </c>
      <c r="P209" s="52" t="s">
        <v>1604</v>
      </c>
      <c r="Q209" s="52" t="s">
        <v>1858</v>
      </c>
      <c r="R209" s="52">
        <v>-1000000.0</v>
      </c>
      <c r="S209" s="52">
        <v>7.99E7</v>
      </c>
      <c r="T209" s="52">
        <v>24125.0</v>
      </c>
      <c r="U209" s="52">
        <v>24725.0</v>
      </c>
      <c r="V209" s="52" t="s">
        <v>1201</v>
      </c>
      <c r="W209" s="69">
        <v>45705.0</v>
      </c>
      <c r="X209" s="70">
        <v>46022.0</v>
      </c>
      <c r="Z209" s="70">
        <v>46022.0</v>
      </c>
      <c r="AA209" s="52" t="s">
        <v>42</v>
      </c>
    </row>
    <row r="210">
      <c r="A210" s="52">
        <v>208.0</v>
      </c>
      <c r="B210" s="52" t="s">
        <v>1062</v>
      </c>
      <c r="C210" s="52" t="s">
        <v>1064</v>
      </c>
      <c r="D210" s="52" t="s">
        <v>1489</v>
      </c>
      <c r="E210" s="52" t="s">
        <v>1489</v>
      </c>
      <c r="F210" s="52" t="s">
        <v>1478</v>
      </c>
      <c r="G210" s="52" t="s">
        <v>1471</v>
      </c>
      <c r="H210" s="52" t="s">
        <v>1030</v>
      </c>
      <c r="I210" s="52" t="s">
        <v>1507</v>
      </c>
      <c r="J210" s="52">
        <v>14.0</v>
      </c>
      <c r="K210" s="52" t="s">
        <v>1473</v>
      </c>
      <c r="L210" s="52">
        <v>25.0</v>
      </c>
      <c r="M210" s="52">
        <v>13.0</v>
      </c>
      <c r="N210" s="52" t="s">
        <v>1063</v>
      </c>
      <c r="O210" s="52" t="s">
        <v>1859</v>
      </c>
      <c r="P210" s="52" t="s">
        <v>587</v>
      </c>
      <c r="Q210" s="52" t="s">
        <v>1859</v>
      </c>
      <c r="S210" s="52">
        <v>6.825E7</v>
      </c>
      <c r="T210" s="52">
        <v>25625.0</v>
      </c>
      <c r="U210" s="52">
        <v>24125.0</v>
      </c>
      <c r="V210" s="52" t="s">
        <v>367</v>
      </c>
      <c r="W210" s="69">
        <v>45702.0</v>
      </c>
      <c r="X210" s="70">
        <v>46019.0</v>
      </c>
      <c r="Z210" s="70">
        <v>46019.0</v>
      </c>
      <c r="AA210" s="52" t="s">
        <v>42</v>
      </c>
    </row>
    <row r="211">
      <c r="A211" s="52">
        <v>209.0</v>
      </c>
      <c r="B211" s="52" t="s">
        <v>1066</v>
      </c>
      <c r="C211" s="52" t="s">
        <v>1067</v>
      </c>
      <c r="D211" s="52" t="s">
        <v>1469</v>
      </c>
      <c r="E211" s="52" t="s">
        <v>1469</v>
      </c>
      <c r="F211" s="52" t="s">
        <v>1470</v>
      </c>
      <c r="G211" s="52" t="s">
        <v>1471</v>
      </c>
      <c r="H211" s="52" t="s">
        <v>1030</v>
      </c>
      <c r="I211" s="52" t="s">
        <v>1860</v>
      </c>
      <c r="J211" s="52">
        <v>18.0</v>
      </c>
      <c r="K211" s="52" t="s">
        <v>1473</v>
      </c>
      <c r="L211" s="52">
        <v>47.0</v>
      </c>
      <c r="M211" s="52">
        <v>26.0</v>
      </c>
      <c r="N211" s="52" t="s">
        <v>1015</v>
      </c>
      <c r="O211" s="52" t="s">
        <v>1861</v>
      </c>
      <c r="P211" s="52" t="s">
        <v>587</v>
      </c>
      <c r="Q211" s="52" t="s">
        <v>1861</v>
      </c>
      <c r="R211" s="72">
        <v>-288333.0</v>
      </c>
      <c r="S211" s="52">
        <v>9.1401667E7</v>
      </c>
      <c r="T211" s="52">
        <v>25025.0</v>
      </c>
      <c r="U211" s="52">
        <v>24425.0</v>
      </c>
      <c r="V211" s="52" t="s">
        <v>91</v>
      </c>
      <c r="W211" s="69">
        <v>45702.0</v>
      </c>
      <c r="X211" s="70">
        <v>46022.0</v>
      </c>
      <c r="Z211" s="70">
        <v>46022.0</v>
      </c>
      <c r="AA211" s="52" t="s">
        <v>42</v>
      </c>
    </row>
    <row r="212">
      <c r="A212" s="52">
        <v>210.0</v>
      </c>
      <c r="B212" s="52" t="s">
        <v>1069</v>
      </c>
      <c r="C212" s="52" t="s">
        <v>1071</v>
      </c>
      <c r="D212" s="52" t="s">
        <v>1469</v>
      </c>
      <c r="E212" s="52" t="s">
        <v>1469</v>
      </c>
      <c r="F212" s="52" t="s">
        <v>1470</v>
      </c>
      <c r="G212" s="52" t="s">
        <v>1471</v>
      </c>
      <c r="H212" s="52" t="s">
        <v>1030</v>
      </c>
      <c r="I212" s="52" t="s">
        <v>1526</v>
      </c>
      <c r="J212" s="52">
        <v>9.0</v>
      </c>
      <c r="K212" s="52" t="s">
        <v>1483</v>
      </c>
      <c r="L212" s="52">
        <v>34.0</v>
      </c>
      <c r="M212" s="52">
        <v>23.0</v>
      </c>
      <c r="N212" s="52" t="s">
        <v>1070</v>
      </c>
      <c r="O212" s="52" t="s">
        <v>1862</v>
      </c>
      <c r="P212" s="52" t="s">
        <v>587</v>
      </c>
      <c r="Q212" s="52" t="s">
        <v>1862</v>
      </c>
      <c r="S212" s="52">
        <v>5.060475E7</v>
      </c>
      <c r="T212" s="52">
        <v>24925.0</v>
      </c>
      <c r="U212" s="52">
        <v>24525.0</v>
      </c>
      <c r="V212" s="52" t="s">
        <v>91</v>
      </c>
      <c r="W212" s="69">
        <v>45702.0</v>
      </c>
      <c r="X212" s="70">
        <v>46019.0</v>
      </c>
      <c r="Z212" s="70">
        <v>46019.0</v>
      </c>
      <c r="AA212" s="52" t="s">
        <v>42</v>
      </c>
    </row>
    <row r="213">
      <c r="A213" s="52">
        <v>211.0</v>
      </c>
      <c r="B213" s="52" t="s">
        <v>1073</v>
      </c>
      <c r="C213" s="52" t="s">
        <v>1075</v>
      </c>
      <c r="D213" s="52" t="s">
        <v>1469</v>
      </c>
      <c r="E213" s="52" t="s">
        <v>1469</v>
      </c>
      <c r="F213" s="52" t="s">
        <v>1470</v>
      </c>
      <c r="G213" s="52" t="s">
        <v>1471</v>
      </c>
      <c r="H213" s="52" t="s">
        <v>1030</v>
      </c>
      <c r="I213" s="52" t="s">
        <v>1757</v>
      </c>
      <c r="J213" s="52">
        <v>19.0</v>
      </c>
      <c r="K213" s="52" t="s">
        <v>1473</v>
      </c>
      <c r="L213" s="52">
        <v>56.0</v>
      </c>
      <c r="M213" s="52">
        <v>42.0</v>
      </c>
      <c r="N213" s="52" t="s">
        <v>1074</v>
      </c>
      <c r="O213" s="52" t="s">
        <v>1863</v>
      </c>
      <c r="P213" s="52" t="s">
        <v>1754</v>
      </c>
      <c r="Q213" s="52" t="s">
        <v>1864</v>
      </c>
      <c r="S213" s="52">
        <v>9.6073055E7</v>
      </c>
      <c r="T213" s="52">
        <v>24225.0</v>
      </c>
      <c r="U213" s="52">
        <v>24325.0</v>
      </c>
      <c r="V213" s="52" t="s">
        <v>91</v>
      </c>
      <c r="W213" s="69">
        <v>45702.0</v>
      </c>
      <c r="X213" s="70">
        <v>46021.0</v>
      </c>
      <c r="Z213" s="70">
        <v>46021.0</v>
      </c>
      <c r="AA213" s="52" t="s">
        <v>42</v>
      </c>
    </row>
    <row r="214">
      <c r="A214" s="52">
        <v>212.0</v>
      </c>
      <c r="B214" s="52" t="s">
        <v>1077</v>
      </c>
      <c r="C214" s="52" t="s">
        <v>1079</v>
      </c>
      <c r="D214" s="52" t="s">
        <v>1497</v>
      </c>
      <c r="E214" s="52" t="s">
        <v>1497</v>
      </c>
      <c r="F214" s="52" t="s">
        <v>1478</v>
      </c>
      <c r="G214" s="52" t="s">
        <v>1471</v>
      </c>
      <c r="H214" s="52" t="s">
        <v>1030</v>
      </c>
      <c r="I214" s="52" t="s">
        <v>1521</v>
      </c>
      <c r="J214" s="52">
        <v>14.0</v>
      </c>
      <c r="K214" s="52" t="s">
        <v>1473</v>
      </c>
      <c r="L214" s="52">
        <v>43.0</v>
      </c>
      <c r="M214" s="52">
        <v>17.0</v>
      </c>
      <c r="N214" s="52" t="s">
        <v>1078</v>
      </c>
      <c r="O214" s="52" t="s">
        <v>1707</v>
      </c>
      <c r="P214" s="52" t="s">
        <v>587</v>
      </c>
      <c r="Q214" s="52" t="s">
        <v>1707</v>
      </c>
      <c r="S214" s="52">
        <v>5.0E7</v>
      </c>
      <c r="T214" s="52">
        <v>24425.0</v>
      </c>
      <c r="U214" s="52">
        <v>24825.0</v>
      </c>
      <c r="V214" s="52" t="s">
        <v>77</v>
      </c>
      <c r="W214" s="69">
        <v>45705.0</v>
      </c>
      <c r="X214" s="70">
        <v>45946.0</v>
      </c>
      <c r="Z214" s="70">
        <v>45946.0</v>
      </c>
      <c r="AA214" s="52" t="s">
        <v>42</v>
      </c>
    </row>
    <row r="215">
      <c r="A215" s="52">
        <v>213.0</v>
      </c>
      <c r="B215" s="52" t="s">
        <v>1081</v>
      </c>
      <c r="C215" s="52" t="s">
        <v>1083</v>
      </c>
      <c r="D215" s="52" t="s">
        <v>1497</v>
      </c>
      <c r="E215" s="52" t="s">
        <v>1497</v>
      </c>
      <c r="F215" s="52" t="s">
        <v>1478</v>
      </c>
      <c r="G215" s="52" t="s">
        <v>1471</v>
      </c>
      <c r="H215" s="52" t="s">
        <v>1030</v>
      </c>
      <c r="I215" s="52" t="s">
        <v>1865</v>
      </c>
      <c r="J215" s="52">
        <v>14.0</v>
      </c>
      <c r="K215" s="52" t="s">
        <v>1473</v>
      </c>
      <c r="L215" s="52">
        <v>25.0</v>
      </c>
      <c r="M215" s="52">
        <v>25.0</v>
      </c>
      <c r="N215" s="52" t="s">
        <v>1082</v>
      </c>
      <c r="O215" s="52" t="s">
        <v>1866</v>
      </c>
      <c r="P215" s="52" t="s">
        <v>587</v>
      </c>
      <c r="Q215" s="52" t="s">
        <v>1866</v>
      </c>
      <c r="S215" s="52">
        <v>5.04E7</v>
      </c>
      <c r="T215" s="52">
        <v>24525.0</v>
      </c>
      <c r="U215" s="52">
        <v>25225.0</v>
      </c>
      <c r="V215" s="52" t="s">
        <v>77</v>
      </c>
      <c r="W215" s="69">
        <v>45706.0</v>
      </c>
      <c r="X215" s="70">
        <v>45947.0</v>
      </c>
      <c r="Z215" s="70">
        <v>45947.0</v>
      </c>
      <c r="AA215" s="52" t="s">
        <v>42</v>
      </c>
    </row>
    <row r="216">
      <c r="A216" s="52">
        <v>214.0</v>
      </c>
      <c r="B216" s="52" t="s">
        <v>1085</v>
      </c>
      <c r="C216" s="52" t="s">
        <v>1867</v>
      </c>
      <c r="D216" s="52" t="s">
        <v>1469</v>
      </c>
      <c r="E216" s="52" t="s">
        <v>1469</v>
      </c>
      <c r="F216" s="52" t="s">
        <v>1470</v>
      </c>
      <c r="G216" s="52" t="s">
        <v>1471</v>
      </c>
      <c r="H216" s="52" t="s">
        <v>1030</v>
      </c>
      <c r="I216" s="52" t="s">
        <v>1744</v>
      </c>
      <c r="J216" s="52">
        <v>3.0</v>
      </c>
      <c r="K216" s="52" t="s">
        <v>1483</v>
      </c>
      <c r="L216" s="52">
        <v>18.0</v>
      </c>
      <c r="M216" s="52">
        <v>18.0</v>
      </c>
      <c r="N216" s="52" t="s">
        <v>1086</v>
      </c>
      <c r="O216" s="52" t="s">
        <v>1868</v>
      </c>
      <c r="P216" s="52" t="s">
        <v>587</v>
      </c>
      <c r="Q216" s="52" t="s">
        <v>1868</v>
      </c>
      <c r="S216" s="52">
        <v>3.836651E7</v>
      </c>
      <c r="T216" s="52">
        <v>26025.0</v>
      </c>
      <c r="U216" s="52">
        <v>24625.0</v>
      </c>
      <c r="V216" s="52" t="s">
        <v>91</v>
      </c>
      <c r="W216" s="69">
        <v>45702.0</v>
      </c>
      <c r="X216" s="70">
        <v>46021.0</v>
      </c>
      <c r="Z216" s="70">
        <v>46021.0</v>
      </c>
      <c r="AA216" s="52" t="s">
        <v>42</v>
      </c>
    </row>
    <row r="217">
      <c r="A217" s="52">
        <v>215.0</v>
      </c>
      <c r="B217" s="52" t="s">
        <v>1089</v>
      </c>
      <c r="C217" s="52" t="s">
        <v>1091</v>
      </c>
      <c r="D217" s="52" t="s">
        <v>1497</v>
      </c>
      <c r="E217" s="52" t="s">
        <v>1497</v>
      </c>
      <c r="F217" s="52" t="s">
        <v>1478</v>
      </c>
      <c r="G217" s="52" t="s">
        <v>1471</v>
      </c>
      <c r="H217" s="52" t="s">
        <v>1030</v>
      </c>
      <c r="I217" s="52" t="s">
        <v>1869</v>
      </c>
      <c r="J217" s="52">
        <v>15.0</v>
      </c>
      <c r="K217" s="52" t="s">
        <v>1473</v>
      </c>
      <c r="L217" s="52">
        <v>52.0</v>
      </c>
      <c r="M217" s="52">
        <v>52.0</v>
      </c>
      <c r="N217" s="52" t="s">
        <v>1090</v>
      </c>
      <c r="O217" s="52" t="s">
        <v>1807</v>
      </c>
      <c r="P217" s="52" t="s">
        <v>587</v>
      </c>
      <c r="Q217" s="52" t="s">
        <v>1807</v>
      </c>
      <c r="S217" s="52">
        <v>5.6E7</v>
      </c>
      <c r="T217" s="52">
        <v>24825.0</v>
      </c>
      <c r="U217" s="52">
        <v>26525.0</v>
      </c>
      <c r="V217" s="52" t="s">
        <v>77</v>
      </c>
      <c r="W217" s="69">
        <v>45709.0</v>
      </c>
      <c r="X217" s="70">
        <v>45950.0</v>
      </c>
      <c r="Z217" s="70">
        <v>45950.0</v>
      </c>
      <c r="AA217" s="52" t="s">
        <v>42</v>
      </c>
    </row>
    <row r="218">
      <c r="A218" s="52">
        <v>216.0</v>
      </c>
      <c r="B218" s="52" t="s">
        <v>1093</v>
      </c>
      <c r="C218" s="52" t="s">
        <v>1095</v>
      </c>
      <c r="D218" s="52" t="s">
        <v>1497</v>
      </c>
      <c r="E218" s="52" t="s">
        <v>1497</v>
      </c>
      <c r="F218" s="52" t="s">
        <v>1478</v>
      </c>
      <c r="G218" s="52" t="s">
        <v>1471</v>
      </c>
      <c r="H218" s="52" t="s">
        <v>1030</v>
      </c>
      <c r="I218" s="52" t="s">
        <v>1507</v>
      </c>
      <c r="J218" s="52">
        <v>16.0</v>
      </c>
      <c r="K218" s="52" t="s">
        <v>1473</v>
      </c>
      <c r="L218" s="52">
        <v>129.0</v>
      </c>
      <c r="M218" s="52">
        <v>24.0</v>
      </c>
      <c r="N218" s="52" t="s">
        <v>1094</v>
      </c>
      <c r="O218" s="52" t="s">
        <v>1870</v>
      </c>
      <c r="P218" s="52" t="s">
        <v>1871</v>
      </c>
      <c r="Q218" s="52" t="s">
        <v>1872</v>
      </c>
      <c r="R218" s="72">
        <v>-1000000.0</v>
      </c>
      <c r="S218" s="52">
        <v>8.025E7</v>
      </c>
      <c r="T218" s="52">
        <v>24725.0</v>
      </c>
      <c r="U218" s="52">
        <v>27025.0</v>
      </c>
      <c r="V218" s="52" t="s">
        <v>77</v>
      </c>
      <c r="W218" s="69">
        <v>45713.0</v>
      </c>
      <c r="X218" s="70">
        <v>46022.0</v>
      </c>
      <c r="Z218" s="70">
        <v>46022.0</v>
      </c>
      <c r="AA218" s="52" t="s">
        <v>42</v>
      </c>
    </row>
    <row r="219">
      <c r="A219" s="52">
        <v>217.0</v>
      </c>
      <c r="B219" s="52" t="s">
        <v>1097</v>
      </c>
      <c r="C219" s="52" t="s">
        <v>1099</v>
      </c>
      <c r="D219" s="52" t="s">
        <v>1497</v>
      </c>
      <c r="E219" s="52" t="s">
        <v>1497</v>
      </c>
      <c r="F219" s="52" t="s">
        <v>1478</v>
      </c>
      <c r="G219" s="52" t="s">
        <v>1471</v>
      </c>
      <c r="H219" s="52" t="s">
        <v>1030</v>
      </c>
      <c r="I219" s="52" t="s">
        <v>1600</v>
      </c>
      <c r="J219" s="52">
        <v>15.0</v>
      </c>
      <c r="K219" s="52" t="s">
        <v>1473</v>
      </c>
      <c r="L219" s="52">
        <v>54.0</v>
      </c>
      <c r="M219" s="52">
        <v>17.0</v>
      </c>
      <c r="N219" s="52" t="s">
        <v>1098</v>
      </c>
      <c r="O219" s="52" t="s">
        <v>1585</v>
      </c>
      <c r="P219" s="52" t="s">
        <v>1524</v>
      </c>
      <c r="Q219" s="52" t="s">
        <v>1779</v>
      </c>
      <c r="S219" s="52">
        <v>6.6E7</v>
      </c>
      <c r="T219" s="52">
        <v>24625.0</v>
      </c>
      <c r="U219" s="52">
        <v>26925.0</v>
      </c>
      <c r="V219" s="52" t="s">
        <v>77</v>
      </c>
      <c r="W219" s="69">
        <v>45710.0</v>
      </c>
      <c r="X219" s="70">
        <v>45985.0</v>
      </c>
      <c r="Z219" s="70">
        <v>45985.0</v>
      </c>
      <c r="AA219" s="52" t="s">
        <v>42</v>
      </c>
    </row>
    <row r="220">
      <c r="A220" s="52">
        <v>218.0</v>
      </c>
      <c r="B220" s="52" t="s">
        <v>1105</v>
      </c>
      <c r="C220" s="52" t="s">
        <v>1107</v>
      </c>
      <c r="D220" s="52" t="s">
        <v>1503</v>
      </c>
      <c r="E220" s="52" t="s">
        <v>1503</v>
      </c>
      <c r="F220" s="52" t="s">
        <v>1478</v>
      </c>
      <c r="G220" s="52" t="s">
        <v>1471</v>
      </c>
      <c r="H220" s="52" t="s">
        <v>1030</v>
      </c>
      <c r="I220" s="52" t="s">
        <v>1873</v>
      </c>
      <c r="J220" s="52">
        <v>20.0</v>
      </c>
      <c r="K220" s="52" t="s">
        <v>1473</v>
      </c>
      <c r="L220" s="52">
        <v>98.0</v>
      </c>
      <c r="M220" s="52">
        <v>70.0</v>
      </c>
      <c r="N220" s="52" t="s">
        <v>1106</v>
      </c>
      <c r="O220" s="52" t="s">
        <v>1874</v>
      </c>
      <c r="P220" s="52" t="s">
        <v>587</v>
      </c>
      <c r="Q220" s="52" t="s">
        <v>1874</v>
      </c>
      <c r="S220" s="52">
        <v>1.0E8</v>
      </c>
      <c r="T220" s="52">
        <v>25425.0</v>
      </c>
      <c r="U220" s="52">
        <v>26825.0</v>
      </c>
      <c r="V220" s="52" t="s">
        <v>1108</v>
      </c>
      <c r="W220" s="69">
        <v>45712.0</v>
      </c>
      <c r="X220" s="70">
        <v>46014.0</v>
      </c>
      <c r="Z220" s="70">
        <v>46014.0</v>
      </c>
      <c r="AA220" s="52" t="s">
        <v>42</v>
      </c>
    </row>
    <row r="221">
      <c r="A221" s="52">
        <v>219.0</v>
      </c>
      <c r="B221" s="52" t="s">
        <v>1115</v>
      </c>
      <c r="C221" s="52" t="s">
        <v>1117</v>
      </c>
      <c r="D221" s="52" t="s">
        <v>1503</v>
      </c>
      <c r="E221" s="52" t="s">
        <v>1503</v>
      </c>
      <c r="F221" s="52" t="s">
        <v>1478</v>
      </c>
      <c r="G221" s="52" t="s">
        <v>1471</v>
      </c>
      <c r="H221" s="52" t="s">
        <v>1030</v>
      </c>
      <c r="I221" s="52" t="s">
        <v>1573</v>
      </c>
      <c r="J221" s="52">
        <v>15.0</v>
      </c>
      <c r="K221" s="52" t="s">
        <v>1473</v>
      </c>
      <c r="L221" s="52">
        <v>105.0</v>
      </c>
      <c r="M221" s="52">
        <v>105.0</v>
      </c>
      <c r="N221" s="52" t="s">
        <v>1116</v>
      </c>
      <c r="O221" s="52" t="s">
        <v>1875</v>
      </c>
      <c r="P221" s="52" t="s">
        <v>587</v>
      </c>
      <c r="Q221" s="52" t="s">
        <v>1875</v>
      </c>
      <c r="S221" s="52">
        <v>7.067762E7</v>
      </c>
      <c r="T221" s="52">
        <v>26325.0</v>
      </c>
      <c r="U221" s="52">
        <v>26725.0</v>
      </c>
      <c r="V221" s="52" t="s">
        <v>111</v>
      </c>
      <c r="W221" s="69">
        <v>45712.0</v>
      </c>
      <c r="X221" s="70">
        <v>46014.0</v>
      </c>
      <c r="Z221" s="70">
        <v>46014.0</v>
      </c>
      <c r="AA221" s="52" t="s">
        <v>42</v>
      </c>
    </row>
    <row r="222">
      <c r="A222" s="52">
        <v>220.0</v>
      </c>
      <c r="B222" s="52" t="s">
        <v>1119</v>
      </c>
      <c r="C222" s="52" t="s">
        <v>1121</v>
      </c>
      <c r="D222" s="52" t="s">
        <v>1482</v>
      </c>
      <c r="E222" s="52" t="s">
        <v>1482</v>
      </c>
      <c r="F222" s="52" t="s">
        <v>1478</v>
      </c>
      <c r="G222" s="52" t="s">
        <v>1471</v>
      </c>
      <c r="H222" s="52" t="s">
        <v>1030</v>
      </c>
      <c r="I222" s="52" t="s">
        <v>1526</v>
      </c>
      <c r="J222" s="52">
        <v>18.0</v>
      </c>
      <c r="K222" s="52" t="s">
        <v>1473</v>
      </c>
      <c r="L222" s="52">
        <v>52.0</v>
      </c>
      <c r="M222" s="52">
        <v>52.0</v>
      </c>
      <c r="N222" s="52" t="s">
        <v>1120</v>
      </c>
      <c r="O222" s="52" t="s">
        <v>1727</v>
      </c>
      <c r="P222" s="52" t="s">
        <v>587</v>
      </c>
      <c r="Q222" s="52" t="s">
        <v>1727</v>
      </c>
      <c r="S222" s="52">
        <v>8.5E7</v>
      </c>
      <c r="T222" s="52">
        <v>26725.0</v>
      </c>
      <c r="U222" s="52">
        <v>27425.0</v>
      </c>
      <c r="V222" s="52" t="s">
        <v>53</v>
      </c>
      <c r="W222" s="69">
        <v>45714.0</v>
      </c>
      <c r="X222" s="70">
        <v>46016.0</v>
      </c>
      <c r="Z222" s="70">
        <v>46016.0</v>
      </c>
      <c r="AA222" s="52" t="s">
        <v>42</v>
      </c>
    </row>
    <row r="223">
      <c r="A223" s="52">
        <v>221.0</v>
      </c>
      <c r="B223" s="52" t="s">
        <v>1126</v>
      </c>
      <c r="C223" s="52" t="s">
        <v>1128</v>
      </c>
      <c r="D223" s="52" t="s">
        <v>1503</v>
      </c>
      <c r="E223" s="52" t="s">
        <v>1503</v>
      </c>
      <c r="F223" s="52" t="s">
        <v>1478</v>
      </c>
      <c r="G223" s="52" t="s">
        <v>1471</v>
      </c>
      <c r="H223" s="52" t="s">
        <v>1030</v>
      </c>
      <c r="I223" s="52" t="s">
        <v>1625</v>
      </c>
      <c r="J223" s="52">
        <v>15.0</v>
      </c>
      <c r="K223" s="52" t="s">
        <v>1473</v>
      </c>
      <c r="L223" s="52">
        <v>62.0</v>
      </c>
      <c r="M223" s="52">
        <v>58.0</v>
      </c>
      <c r="N223" s="52" t="s">
        <v>1127</v>
      </c>
      <c r="O223" s="52" t="s">
        <v>1876</v>
      </c>
      <c r="P223" s="52" t="s">
        <v>587</v>
      </c>
      <c r="Q223" s="52" t="s">
        <v>1876</v>
      </c>
      <c r="S223" s="52">
        <v>7.2333333E7</v>
      </c>
      <c r="T223" s="52">
        <v>26625.0</v>
      </c>
      <c r="U223" s="52">
        <v>28025.0</v>
      </c>
      <c r="V223" s="52" t="s">
        <v>1298</v>
      </c>
      <c r="W223" s="69">
        <v>45716.0</v>
      </c>
      <c r="X223" s="70">
        <v>46022.0</v>
      </c>
      <c r="Z223" s="70">
        <v>46022.0</v>
      </c>
      <c r="AA223" s="52" t="s">
        <v>42</v>
      </c>
    </row>
    <row r="224">
      <c r="A224" s="52">
        <v>222.0</v>
      </c>
      <c r="B224" s="52" t="s">
        <v>1130</v>
      </c>
      <c r="C224" s="52" t="s">
        <v>1132</v>
      </c>
      <c r="D224" s="52" t="s">
        <v>1540</v>
      </c>
      <c r="E224" s="52" t="s">
        <v>1540</v>
      </c>
      <c r="F224" s="52" t="s">
        <v>1478</v>
      </c>
      <c r="G224" s="52" t="s">
        <v>1471</v>
      </c>
      <c r="H224" s="52" t="s">
        <v>781</v>
      </c>
      <c r="I224" s="52" t="s">
        <v>1877</v>
      </c>
      <c r="J224" s="52">
        <v>7.0</v>
      </c>
      <c r="K224" s="52" t="s">
        <v>1483</v>
      </c>
      <c r="L224" s="52">
        <v>29.0</v>
      </c>
      <c r="M224" s="52">
        <v>29.0</v>
      </c>
      <c r="N224" s="52" t="s">
        <v>1131</v>
      </c>
      <c r="O224" s="52" t="s">
        <v>1878</v>
      </c>
      <c r="P224" s="52" t="s">
        <v>587</v>
      </c>
      <c r="Q224" s="52" t="s">
        <v>1878</v>
      </c>
      <c r="S224" s="52">
        <v>2.397472E7</v>
      </c>
      <c r="T224" s="52">
        <v>25225.0</v>
      </c>
      <c r="U224" s="52">
        <v>27625.0</v>
      </c>
      <c r="V224" s="52" t="s">
        <v>228</v>
      </c>
      <c r="W224" s="69">
        <v>45716.0</v>
      </c>
      <c r="X224" s="70">
        <v>46022.0</v>
      </c>
      <c r="Z224" s="70">
        <v>46022.0</v>
      </c>
      <c r="AA224" s="52" t="s">
        <v>42</v>
      </c>
    </row>
    <row r="225">
      <c r="A225" s="52">
        <v>223.0</v>
      </c>
      <c r="B225" s="52" t="s">
        <v>1135</v>
      </c>
      <c r="C225" s="52" t="s">
        <v>1137</v>
      </c>
      <c r="D225" s="52" t="s">
        <v>1520</v>
      </c>
      <c r="E225" s="52" t="s">
        <v>1520</v>
      </c>
      <c r="F225" s="52" t="s">
        <v>1478</v>
      </c>
      <c r="G225" s="52" t="s">
        <v>1471</v>
      </c>
      <c r="H225" s="52" t="s">
        <v>1030</v>
      </c>
      <c r="I225" s="52" t="s">
        <v>1877</v>
      </c>
      <c r="J225" s="52">
        <v>19.0</v>
      </c>
      <c r="K225" s="52" t="s">
        <v>1473</v>
      </c>
      <c r="L225" s="52">
        <v>146.0</v>
      </c>
      <c r="M225" s="52">
        <v>38.0</v>
      </c>
      <c r="N225" s="52" t="s">
        <v>1136</v>
      </c>
      <c r="O225" s="52" t="s">
        <v>1879</v>
      </c>
      <c r="P225" s="52" t="s">
        <v>587</v>
      </c>
      <c r="Q225" s="52" t="s">
        <v>1879</v>
      </c>
      <c r="S225" s="52" t="s">
        <v>1880</v>
      </c>
      <c r="T225" s="52">
        <v>26225.0</v>
      </c>
      <c r="U225" s="52" t="s">
        <v>1879</v>
      </c>
      <c r="V225" s="52" t="s">
        <v>1879</v>
      </c>
      <c r="W225" s="69">
        <v>45708.0</v>
      </c>
      <c r="X225" s="70">
        <v>46387.0</v>
      </c>
      <c r="Z225" s="70">
        <v>46387.0</v>
      </c>
      <c r="AA225" s="52" t="s">
        <v>42</v>
      </c>
    </row>
    <row r="226">
      <c r="A226" s="52">
        <v>224.0</v>
      </c>
      <c r="B226" s="52" t="s">
        <v>1140</v>
      </c>
      <c r="C226" s="52" t="s">
        <v>1142</v>
      </c>
      <c r="D226" s="52" t="s">
        <v>1705</v>
      </c>
      <c r="E226" s="52" t="s">
        <v>1705</v>
      </c>
      <c r="F226" s="52" t="s">
        <v>1478</v>
      </c>
      <c r="G226" s="52" t="s">
        <v>1555</v>
      </c>
      <c r="H226" s="52" t="s">
        <v>1030</v>
      </c>
      <c r="I226" s="52" t="s">
        <v>1556</v>
      </c>
      <c r="J226" s="52" t="s">
        <v>1556</v>
      </c>
      <c r="K226" s="52" t="s">
        <v>1556</v>
      </c>
      <c r="L226" s="52" t="s">
        <v>1556</v>
      </c>
      <c r="M226" s="52" t="s">
        <v>1556</v>
      </c>
      <c r="N226" s="52" t="s">
        <v>1141</v>
      </c>
      <c r="O226" s="52">
        <v>1.3E8</v>
      </c>
      <c r="P226" s="52" t="s">
        <v>587</v>
      </c>
      <c r="Q226" s="52">
        <v>1.3E8</v>
      </c>
      <c r="S226" s="52">
        <v>1.3E8</v>
      </c>
      <c r="T226" s="52">
        <v>27725.0</v>
      </c>
      <c r="U226" s="52">
        <v>28425.0</v>
      </c>
      <c r="V226" s="52" t="s">
        <v>351</v>
      </c>
      <c r="W226" s="69">
        <v>45722.0</v>
      </c>
      <c r="X226" s="70">
        <v>46022.0</v>
      </c>
      <c r="Z226" s="70">
        <v>46022.0</v>
      </c>
      <c r="AA226" s="52" t="s">
        <v>42</v>
      </c>
    </row>
    <row r="227">
      <c r="A227" s="52">
        <v>225.0</v>
      </c>
      <c r="B227" s="52" t="s">
        <v>1144</v>
      </c>
      <c r="C227" s="52" t="s">
        <v>1146</v>
      </c>
      <c r="D227" s="52" t="s">
        <v>41</v>
      </c>
      <c r="E227" s="52" t="s">
        <v>1477</v>
      </c>
      <c r="F227" s="52" t="s">
        <v>1478</v>
      </c>
      <c r="G227" s="52" t="s">
        <v>1471</v>
      </c>
      <c r="H227" s="52" t="s">
        <v>1030</v>
      </c>
      <c r="I227" s="52" t="s">
        <v>1479</v>
      </c>
      <c r="J227" s="52">
        <v>24.0</v>
      </c>
      <c r="K227" s="52" t="s">
        <v>1473</v>
      </c>
      <c r="L227" s="52">
        <v>75.0</v>
      </c>
      <c r="M227" s="52">
        <v>48.0</v>
      </c>
      <c r="N227" s="52" t="s">
        <v>1881</v>
      </c>
      <c r="O227" s="52" t="s">
        <v>1882</v>
      </c>
      <c r="P227" s="52" t="s">
        <v>587</v>
      </c>
      <c r="Q227" s="52" t="s">
        <v>1882</v>
      </c>
      <c r="S227" s="52">
        <v>9.468E7</v>
      </c>
      <c r="T227" s="52">
        <v>27725.0</v>
      </c>
      <c r="U227" s="52">
        <v>30125.0</v>
      </c>
      <c r="V227" s="52" t="s">
        <v>917</v>
      </c>
      <c r="W227" s="69">
        <v>45730.0</v>
      </c>
      <c r="X227" s="70">
        <v>45958.0</v>
      </c>
      <c r="Z227" s="70">
        <v>45958.0</v>
      </c>
      <c r="AA227" s="52" t="s">
        <v>42</v>
      </c>
    </row>
    <row r="228">
      <c r="A228" s="52">
        <v>226.0</v>
      </c>
      <c r="B228" s="52" t="s">
        <v>1148</v>
      </c>
      <c r="C228" s="52" t="s">
        <v>1150</v>
      </c>
      <c r="D228" s="52" t="s">
        <v>1497</v>
      </c>
      <c r="E228" s="52" t="s">
        <v>1497</v>
      </c>
      <c r="F228" s="52" t="s">
        <v>1478</v>
      </c>
      <c r="G228" s="52" t="s">
        <v>1471</v>
      </c>
      <c r="H228" s="52" t="s">
        <v>583</v>
      </c>
      <c r="I228" s="52" t="s">
        <v>1883</v>
      </c>
      <c r="J228" s="52">
        <v>16.0</v>
      </c>
      <c r="K228" s="52" t="s">
        <v>1473</v>
      </c>
      <c r="L228" s="52">
        <v>0.0</v>
      </c>
      <c r="M228" s="52">
        <v>0.0</v>
      </c>
      <c r="N228" s="52" t="s">
        <v>1149</v>
      </c>
      <c r="O228" s="52">
        <v>7.875E7</v>
      </c>
      <c r="P228" s="52" t="s">
        <v>587</v>
      </c>
      <c r="Q228" s="52">
        <v>7.875E7</v>
      </c>
      <c r="S228" s="52">
        <v>7.875E7</v>
      </c>
      <c r="T228" s="52">
        <v>27825.0</v>
      </c>
      <c r="U228" s="52">
        <v>28525.0</v>
      </c>
      <c r="V228" s="52" t="s">
        <v>228</v>
      </c>
      <c r="W228" s="69">
        <v>45720.0</v>
      </c>
      <c r="X228" s="70">
        <v>46022.0</v>
      </c>
      <c r="Z228" s="70">
        <v>46022.0</v>
      </c>
      <c r="AA228" s="52" t="s">
        <v>42</v>
      </c>
    </row>
    <row r="229">
      <c r="A229" s="52">
        <v>227.0</v>
      </c>
      <c r="B229" s="52" t="s">
        <v>1152</v>
      </c>
      <c r="C229" s="52" t="s">
        <v>1154</v>
      </c>
      <c r="D229" s="52" t="s">
        <v>1482</v>
      </c>
      <c r="E229" s="52" t="s">
        <v>1482</v>
      </c>
      <c r="F229" s="52" t="s">
        <v>1478</v>
      </c>
      <c r="G229" s="52" t="s">
        <v>1471</v>
      </c>
      <c r="H229" s="52" t="s">
        <v>583</v>
      </c>
      <c r="I229" s="52" t="s">
        <v>1744</v>
      </c>
      <c r="J229" s="52">
        <v>15.0</v>
      </c>
      <c r="K229" s="52" t="s">
        <v>1473</v>
      </c>
      <c r="L229" s="52">
        <v>31.0</v>
      </c>
      <c r="M229" s="52">
        <v>19.0</v>
      </c>
      <c r="N229" s="52" t="s">
        <v>1153</v>
      </c>
      <c r="O229" s="52">
        <v>7.2966E7</v>
      </c>
      <c r="P229" s="52" t="s">
        <v>587</v>
      </c>
      <c r="Q229" s="52">
        <v>7.2966E7</v>
      </c>
      <c r="R229" s="72">
        <v>-2188980.0</v>
      </c>
      <c r="S229" s="52">
        <v>7.077702E7</v>
      </c>
      <c r="T229" s="52">
        <v>18125.0</v>
      </c>
      <c r="U229" s="52">
        <v>29325.0</v>
      </c>
      <c r="V229" s="52" t="s">
        <v>53</v>
      </c>
      <c r="W229" s="69">
        <v>45726.0</v>
      </c>
      <c r="X229" s="70">
        <v>46022.0</v>
      </c>
      <c r="Z229" s="70">
        <v>46022.0</v>
      </c>
      <c r="AA229" s="52" t="s">
        <v>42</v>
      </c>
    </row>
    <row r="230">
      <c r="A230" s="52">
        <v>228.0</v>
      </c>
      <c r="B230" s="52" t="s">
        <v>1156</v>
      </c>
      <c r="C230" s="52" t="s">
        <v>1158</v>
      </c>
      <c r="D230" s="52" t="s">
        <v>41</v>
      </c>
      <c r="E230" s="52" t="s">
        <v>1477</v>
      </c>
      <c r="F230" s="52" t="s">
        <v>1478</v>
      </c>
      <c r="H230" s="52" t="s">
        <v>583</v>
      </c>
      <c r="I230" s="52" t="s">
        <v>1528</v>
      </c>
      <c r="J230" s="52">
        <v>21.0</v>
      </c>
      <c r="K230" s="52" t="s">
        <v>1473</v>
      </c>
      <c r="L230" s="52">
        <v>138.0</v>
      </c>
      <c r="M230" s="52">
        <v>34.0</v>
      </c>
      <c r="O230" s="52">
        <v>7.89E7</v>
      </c>
      <c r="P230" s="52" t="s">
        <v>587</v>
      </c>
      <c r="Q230" s="52">
        <v>7.89E7</v>
      </c>
      <c r="S230" s="52">
        <v>7.89E7</v>
      </c>
      <c r="U230" s="52">
        <v>30025.0</v>
      </c>
      <c r="V230" s="52" t="s">
        <v>917</v>
      </c>
      <c r="W230" s="69">
        <v>45730.0</v>
      </c>
      <c r="X230" s="70">
        <v>45958.0</v>
      </c>
      <c r="Z230" s="70">
        <v>45958.0</v>
      </c>
      <c r="AA230" s="52" t="s">
        <v>42</v>
      </c>
    </row>
    <row r="231">
      <c r="A231" s="52">
        <v>229.0</v>
      </c>
      <c r="B231" s="52" t="s">
        <v>1160</v>
      </c>
      <c r="C231" s="52" t="s">
        <v>1162</v>
      </c>
      <c r="D231" s="52" t="s">
        <v>1497</v>
      </c>
      <c r="E231" s="52" t="s">
        <v>1497</v>
      </c>
      <c r="F231" s="52" t="s">
        <v>1478</v>
      </c>
      <c r="G231" s="52" t="s">
        <v>1471</v>
      </c>
      <c r="H231" s="52" t="s">
        <v>583</v>
      </c>
      <c r="I231" s="52" t="s">
        <v>1844</v>
      </c>
      <c r="J231" s="52">
        <v>15.0</v>
      </c>
      <c r="K231" s="52" t="s">
        <v>1473</v>
      </c>
      <c r="L231" s="52">
        <v>28.0</v>
      </c>
      <c r="M231" s="52">
        <v>17.0</v>
      </c>
      <c r="N231" s="52" t="s">
        <v>1161</v>
      </c>
      <c r="O231" s="52">
        <v>6.21E7</v>
      </c>
      <c r="P231" s="52">
        <v>4413333.0</v>
      </c>
      <c r="Q231" s="52">
        <v>6.6513333E7</v>
      </c>
      <c r="S231" s="52">
        <v>6.6513333E7</v>
      </c>
      <c r="T231" s="52">
        <v>27625.0</v>
      </c>
      <c r="U231" s="52">
        <v>29425.0</v>
      </c>
      <c r="V231" s="52" t="s">
        <v>77</v>
      </c>
      <c r="W231" s="69">
        <v>45726.0</v>
      </c>
      <c r="X231" s="70">
        <v>46000.0</v>
      </c>
      <c r="Z231" s="70">
        <v>46000.0</v>
      </c>
      <c r="AA231" s="52" t="s">
        <v>42</v>
      </c>
    </row>
    <row r="232">
      <c r="A232" s="52">
        <v>230.0</v>
      </c>
      <c r="B232" s="52" t="s">
        <v>1164</v>
      </c>
      <c r="C232" s="52" t="s">
        <v>1166</v>
      </c>
      <c r="D232" s="52" t="s">
        <v>41</v>
      </c>
      <c r="E232" s="52" t="s">
        <v>1477</v>
      </c>
      <c r="F232" s="52" t="s">
        <v>1470</v>
      </c>
      <c r="G232" s="52" t="s">
        <v>1555</v>
      </c>
      <c r="H232" s="52" t="s">
        <v>1030</v>
      </c>
      <c r="I232" s="52" t="s">
        <v>1556</v>
      </c>
      <c r="J232" s="52" t="s">
        <v>1556</v>
      </c>
      <c r="K232" s="52" t="s">
        <v>1556</v>
      </c>
      <c r="L232" s="52" t="s">
        <v>1556</v>
      </c>
      <c r="M232" s="52" t="s">
        <v>1556</v>
      </c>
      <c r="N232" s="52" t="s">
        <v>1165</v>
      </c>
      <c r="O232" s="52">
        <v>7379736.0</v>
      </c>
      <c r="P232" s="52" t="s">
        <v>587</v>
      </c>
      <c r="Q232" s="52">
        <v>7379736.0</v>
      </c>
      <c r="S232" s="52">
        <v>7379736.0</v>
      </c>
      <c r="U232" s="52">
        <v>32325.0</v>
      </c>
      <c r="V232" s="52" t="s">
        <v>858</v>
      </c>
      <c r="W232" s="69">
        <v>45762.0</v>
      </c>
      <c r="X232" s="70">
        <v>46022.0</v>
      </c>
      <c r="Z232" s="70">
        <v>46022.0</v>
      </c>
      <c r="AA232" s="52" t="s">
        <v>42</v>
      </c>
    </row>
    <row r="233">
      <c r="A233" s="52">
        <v>231.0</v>
      </c>
      <c r="B233" s="52" t="s">
        <v>1170</v>
      </c>
      <c r="C233" s="52" t="s">
        <v>1172</v>
      </c>
      <c r="D233" s="52" t="s">
        <v>1497</v>
      </c>
      <c r="E233" s="52" t="s">
        <v>1497</v>
      </c>
      <c r="F233" s="52" t="s">
        <v>1478</v>
      </c>
      <c r="G233" s="52" t="s">
        <v>1471</v>
      </c>
      <c r="H233" s="52" t="s">
        <v>583</v>
      </c>
      <c r="I233" s="52" t="s">
        <v>1884</v>
      </c>
      <c r="J233" s="52">
        <v>2.0</v>
      </c>
      <c r="K233" s="52" t="s">
        <v>1483</v>
      </c>
      <c r="L233" s="52">
        <v>0.0</v>
      </c>
      <c r="M233" s="52">
        <v>0.0</v>
      </c>
      <c r="N233" s="52" t="s">
        <v>1171</v>
      </c>
      <c r="O233" s="52">
        <v>2.56E7</v>
      </c>
      <c r="P233" s="52" t="s">
        <v>587</v>
      </c>
      <c r="Q233" s="52">
        <v>2.56E7</v>
      </c>
      <c r="S233" s="52">
        <v>2.56E7</v>
      </c>
      <c r="T233" s="52">
        <v>28025.0</v>
      </c>
      <c r="U233" s="52">
        <v>29725.0</v>
      </c>
      <c r="V233" s="52" t="s">
        <v>77</v>
      </c>
      <c r="W233" s="69">
        <v>45727.0</v>
      </c>
      <c r="X233" s="70">
        <v>45971.0</v>
      </c>
      <c r="Z233" s="70">
        <v>45971.0</v>
      </c>
      <c r="AA233" s="52" t="s">
        <v>42</v>
      </c>
    </row>
    <row r="234">
      <c r="A234" s="52">
        <v>232.0</v>
      </c>
      <c r="B234" s="52" t="s">
        <v>1174</v>
      </c>
      <c r="C234" s="52" t="s">
        <v>1176</v>
      </c>
      <c r="D234" s="52" t="s">
        <v>1497</v>
      </c>
      <c r="E234" s="52" t="s">
        <v>1497</v>
      </c>
      <c r="F234" s="52" t="s">
        <v>1478</v>
      </c>
      <c r="G234" s="52" t="s">
        <v>1471</v>
      </c>
      <c r="H234" s="52" t="s">
        <v>583</v>
      </c>
      <c r="I234" s="52" t="s">
        <v>1885</v>
      </c>
      <c r="J234" s="52">
        <v>13.0</v>
      </c>
      <c r="K234" s="52" t="s">
        <v>1473</v>
      </c>
      <c r="L234" s="52">
        <v>34.0</v>
      </c>
      <c r="M234" s="52">
        <v>34.0</v>
      </c>
      <c r="N234" s="52" t="s">
        <v>1175</v>
      </c>
      <c r="O234" s="52">
        <v>5.8E7</v>
      </c>
      <c r="P234" s="52">
        <v>5000000.0</v>
      </c>
      <c r="Q234" s="52">
        <v>6.3E7</v>
      </c>
      <c r="S234" s="52">
        <v>6.3E7</v>
      </c>
      <c r="T234" s="52">
        <v>27525.0</v>
      </c>
      <c r="U234" s="52">
        <v>29625.0</v>
      </c>
      <c r="V234" s="52" t="s">
        <v>98</v>
      </c>
      <c r="W234" s="69">
        <v>45727.0</v>
      </c>
      <c r="X234" s="70">
        <v>46021.0</v>
      </c>
      <c r="Z234" s="70">
        <v>46021.0</v>
      </c>
      <c r="AA234" s="52" t="s">
        <v>42</v>
      </c>
    </row>
    <row r="235">
      <c r="A235" s="52">
        <v>233.0</v>
      </c>
      <c r="B235" s="52" t="s">
        <v>1178</v>
      </c>
      <c r="C235" s="52" t="s">
        <v>1180</v>
      </c>
      <c r="D235" s="52" t="s">
        <v>1497</v>
      </c>
      <c r="E235" s="52" t="s">
        <v>1497</v>
      </c>
      <c r="F235" s="52" t="s">
        <v>1478</v>
      </c>
      <c r="G235" s="52" t="s">
        <v>1471</v>
      </c>
      <c r="H235" s="52" t="s">
        <v>583</v>
      </c>
      <c r="I235" s="52" t="s">
        <v>1479</v>
      </c>
      <c r="J235" s="52">
        <v>19.0</v>
      </c>
      <c r="K235" s="52" t="s">
        <v>1473</v>
      </c>
      <c r="L235" s="52">
        <v>48.0</v>
      </c>
      <c r="M235" s="52">
        <v>26.0</v>
      </c>
      <c r="N235" s="52" t="s">
        <v>1179</v>
      </c>
      <c r="O235" s="52">
        <v>8.897E7</v>
      </c>
      <c r="P235" s="52" t="s">
        <v>587</v>
      </c>
      <c r="Q235" s="52">
        <v>8.897E7</v>
      </c>
      <c r="S235" s="52">
        <v>8.897E7</v>
      </c>
      <c r="T235" s="52">
        <v>28525.0</v>
      </c>
      <c r="U235" s="52">
        <v>29525.0</v>
      </c>
      <c r="V235" s="52" t="s">
        <v>98</v>
      </c>
      <c r="W235" s="69">
        <v>45727.0</v>
      </c>
      <c r="X235" s="70">
        <v>46022.0</v>
      </c>
      <c r="Z235" s="70">
        <v>46022.0</v>
      </c>
      <c r="AA235" s="52" t="s">
        <v>42</v>
      </c>
    </row>
    <row r="236">
      <c r="A236" s="52">
        <v>234.0</v>
      </c>
      <c r="B236" s="52" t="s">
        <v>1182</v>
      </c>
      <c r="C236" s="52" t="s">
        <v>1184</v>
      </c>
      <c r="D236" s="52" t="s">
        <v>1497</v>
      </c>
      <c r="E236" s="52" t="s">
        <v>1497</v>
      </c>
      <c r="F236" s="52" t="s">
        <v>1478</v>
      </c>
      <c r="G236" s="52" t="s">
        <v>1471</v>
      </c>
      <c r="H236" s="52" t="s">
        <v>583</v>
      </c>
      <c r="I236" s="52" t="s">
        <v>1886</v>
      </c>
      <c r="J236" s="52">
        <v>16.0</v>
      </c>
      <c r="K236" s="52" t="s">
        <v>1473</v>
      </c>
      <c r="L236" s="52">
        <v>41.0</v>
      </c>
      <c r="M236" s="52">
        <v>41.0</v>
      </c>
      <c r="N236" s="52" t="s">
        <v>1183</v>
      </c>
      <c r="O236" s="52">
        <v>7.5E7</v>
      </c>
      <c r="P236" s="52">
        <v>2571800.0</v>
      </c>
      <c r="Q236" s="52">
        <v>7.75718E7</v>
      </c>
      <c r="S236" s="52">
        <v>7.75718E7</v>
      </c>
      <c r="T236" s="52">
        <v>28625.0</v>
      </c>
      <c r="U236" s="52">
        <v>30225.0</v>
      </c>
      <c r="V236" s="52" t="s">
        <v>98</v>
      </c>
      <c r="W236" s="69">
        <v>45730.0</v>
      </c>
      <c r="X236" s="70">
        <v>46022.0</v>
      </c>
      <c r="Z236" s="70">
        <v>46022.0</v>
      </c>
      <c r="AA236" s="52" t="s">
        <v>42</v>
      </c>
    </row>
    <row r="237">
      <c r="A237" s="52">
        <v>235.0</v>
      </c>
      <c r="B237" s="52" t="s">
        <v>1186</v>
      </c>
      <c r="C237" s="52" t="s">
        <v>1887</v>
      </c>
      <c r="D237" s="52" t="s">
        <v>1477</v>
      </c>
      <c r="E237" s="52" t="s">
        <v>1477</v>
      </c>
      <c r="F237" s="52" t="s">
        <v>1478</v>
      </c>
      <c r="G237" s="52" t="s">
        <v>1555</v>
      </c>
      <c r="H237" s="52" t="s">
        <v>1030</v>
      </c>
      <c r="I237" s="52" t="s">
        <v>1556</v>
      </c>
      <c r="J237" s="52" t="s">
        <v>1556</v>
      </c>
      <c r="K237" s="52" t="s">
        <v>1556</v>
      </c>
      <c r="L237" s="52" t="s">
        <v>1556</v>
      </c>
      <c r="M237" s="52" t="s">
        <v>1556</v>
      </c>
      <c r="N237" s="52" t="s">
        <v>1187</v>
      </c>
      <c r="O237" s="52">
        <v>2.48231819E8</v>
      </c>
      <c r="P237" s="52" t="s">
        <v>587</v>
      </c>
      <c r="Q237" s="52">
        <v>2.48231819E8</v>
      </c>
      <c r="S237" s="52">
        <v>2.48231819E8</v>
      </c>
      <c r="T237" s="52">
        <v>27425.0</v>
      </c>
      <c r="U237" s="52">
        <v>31025.0</v>
      </c>
      <c r="V237" s="52" t="s">
        <v>1402</v>
      </c>
      <c r="W237" s="69">
        <v>45743.0</v>
      </c>
      <c r="X237" s="70">
        <v>46017.0</v>
      </c>
      <c r="Z237" s="70">
        <v>46017.0</v>
      </c>
      <c r="AA237" s="52" t="s">
        <v>42</v>
      </c>
    </row>
    <row r="238">
      <c r="A238" s="52">
        <v>236.0</v>
      </c>
      <c r="B238" s="52" t="s">
        <v>1888</v>
      </c>
      <c r="C238" s="52" t="s">
        <v>1194</v>
      </c>
      <c r="D238" s="52" t="s">
        <v>1503</v>
      </c>
      <c r="E238" s="52" t="s">
        <v>1503</v>
      </c>
      <c r="F238" s="52" t="s">
        <v>1478</v>
      </c>
      <c r="G238" s="52" t="s">
        <v>1889</v>
      </c>
      <c r="H238" s="52" t="s">
        <v>1191</v>
      </c>
      <c r="I238" s="52" t="s">
        <v>1556</v>
      </c>
      <c r="J238" s="52" t="s">
        <v>1556</v>
      </c>
      <c r="K238" s="52" t="s">
        <v>1556</v>
      </c>
      <c r="L238" s="52" t="s">
        <v>1556</v>
      </c>
      <c r="M238" s="52" t="s">
        <v>1556</v>
      </c>
      <c r="N238" s="52" t="s">
        <v>1193</v>
      </c>
      <c r="O238" s="52">
        <v>2.2E8</v>
      </c>
      <c r="P238" s="52" t="s">
        <v>587</v>
      </c>
      <c r="Q238" s="52">
        <v>2.2E8</v>
      </c>
      <c r="R238" s="52" t="s">
        <v>1890</v>
      </c>
      <c r="S238" s="52">
        <v>2.345E8</v>
      </c>
      <c r="T238" s="52">
        <v>30225.0</v>
      </c>
      <c r="U238" s="52">
        <v>31325.0</v>
      </c>
      <c r="V238" s="52" t="s">
        <v>1108</v>
      </c>
      <c r="W238" s="69">
        <v>45750.0</v>
      </c>
      <c r="X238" s="70">
        <v>46114.0</v>
      </c>
      <c r="Z238" s="70">
        <v>46114.0</v>
      </c>
      <c r="AA238" s="52" t="s">
        <v>42</v>
      </c>
    </row>
    <row r="239">
      <c r="A239" s="52">
        <v>237.0</v>
      </c>
      <c r="B239" s="52" t="s">
        <v>1198</v>
      </c>
      <c r="C239" s="52" t="s">
        <v>1200</v>
      </c>
      <c r="D239" s="52" t="s">
        <v>1497</v>
      </c>
      <c r="E239" s="52" t="s">
        <v>1497</v>
      </c>
      <c r="F239" s="52" t="s">
        <v>1478</v>
      </c>
      <c r="G239" s="52" t="s">
        <v>1471</v>
      </c>
      <c r="H239" s="52" t="s">
        <v>583</v>
      </c>
      <c r="I239" s="52" t="s">
        <v>1891</v>
      </c>
      <c r="J239" s="52">
        <v>18.0</v>
      </c>
      <c r="K239" s="52" t="s">
        <v>1473</v>
      </c>
      <c r="L239" s="52">
        <v>43.0</v>
      </c>
      <c r="M239" s="52">
        <v>31.0</v>
      </c>
      <c r="N239" s="52" t="s">
        <v>1199</v>
      </c>
      <c r="O239" s="52">
        <v>7.885E7</v>
      </c>
      <c r="P239" s="52" t="s">
        <v>1892</v>
      </c>
      <c r="Q239" s="52">
        <v>8.385E7</v>
      </c>
      <c r="S239" s="52">
        <v>8.385E7</v>
      </c>
      <c r="T239" s="52">
        <v>29225.0</v>
      </c>
      <c r="U239" s="52">
        <v>30425.0</v>
      </c>
      <c r="V239" s="52" t="s">
        <v>77</v>
      </c>
      <c r="W239" s="69">
        <v>45734.0</v>
      </c>
      <c r="X239" s="70">
        <v>46022.0</v>
      </c>
      <c r="Z239" s="70">
        <v>46022.0</v>
      </c>
      <c r="AA239" s="52" t="s">
        <v>42</v>
      </c>
    </row>
    <row r="240">
      <c r="A240" s="52">
        <v>238.0</v>
      </c>
      <c r="B240" s="52" t="s">
        <v>1204</v>
      </c>
      <c r="C240" s="52" t="s">
        <v>1893</v>
      </c>
      <c r="D240" s="52" t="s">
        <v>1477</v>
      </c>
      <c r="E240" s="52" t="s">
        <v>1477</v>
      </c>
      <c r="F240" s="52" t="s">
        <v>1470</v>
      </c>
      <c r="G240" s="52" t="s">
        <v>1555</v>
      </c>
      <c r="H240" s="52" t="s">
        <v>1030</v>
      </c>
      <c r="I240" s="52" t="s">
        <v>1556</v>
      </c>
      <c r="J240" s="52" t="s">
        <v>1556</v>
      </c>
      <c r="K240" s="52" t="s">
        <v>1556</v>
      </c>
      <c r="L240" s="52" t="s">
        <v>1556</v>
      </c>
      <c r="M240" s="52" t="s">
        <v>1556</v>
      </c>
      <c r="N240" s="52" t="s">
        <v>1205</v>
      </c>
      <c r="O240" s="52">
        <v>2.63E8</v>
      </c>
      <c r="P240" s="52" t="s">
        <v>587</v>
      </c>
      <c r="Q240" s="52">
        <v>2.63E8</v>
      </c>
      <c r="S240" s="52">
        <v>2.63E8</v>
      </c>
      <c r="T240" s="52">
        <v>30525.0</v>
      </c>
      <c r="U240" s="52">
        <v>31925.0</v>
      </c>
      <c r="V240" s="52" t="s">
        <v>1894</v>
      </c>
      <c r="W240" s="69">
        <v>45751.0</v>
      </c>
      <c r="X240" s="70">
        <v>46014.0</v>
      </c>
      <c r="Z240" s="70">
        <v>46014.0</v>
      </c>
      <c r="AA240" s="52" t="s">
        <v>42</v>
      </c>
    </row>
    <row r="241">
      <c r="A241" s="52">
        <v>239.0</v>
      </c>
      <c r="B241" s="52" t="s">
        <v>1209</v>
      </c>
      <c r="C241" s="52" t="s">
        <v>1211</v>
      </c>
      <c r="D241" s="52" t="s">
        <v>1487</v>
      </c>
      <c r="E241" s="52" t="s">
        <v>1487</v>
      </c>
      <c r="F241" s="52" t="s">
        <v>1478</v>
      </c>
      <c r="G241" s="52" t="s">
        <v>1555</v>
      </c>
      <c r="H241" s="52" t="s">
        <v>81</v>
      </c>
      <c r="I241" s="52" t="s">
        <v>1556</v>
      </c>
      <c r="J241" s="52" t="s">
        <v>1556</v>
      </c>
      <c r="K241" s="52" t="s">
        <v>1556</v>
      </c>
      <c r="L241" s="52" t="s">
        <v>1556</v>
      </c>
      <c r="M241" s="52" t="s">
        <v>1556</v>
      </c>
      <c r="N241" s="52" t="s">
        <v>1210</v>
      </c>
      <c r="O241" s="52">
        <v>1.99614472E8</v>
      </c>
      <c r="P241" s="52" t="s">
        <v>587</v>
      </c>
      <c r="Q241" s="52">
        <v>1.99614472E8</v>
      </c>
      <c r="S241" s="52">
        <v>1.99614472E8</v>
      </c>
      <c r="T241" s="52">
        <v>26925.0</v>
      </c>
      <c r="U241" s="52">
        <v>31625.0</v>
      </c>
      <c r="V241" s="52" t="s">
        <v>1895</v>
      </c>
      <c r="W241" s="69">
        <v>45744.0</v>
      </c>
      <c r="X241" s="70">
        <v>46139.0</v>
      </c>
      <c r="Z241" s="70">
        <v>46139.0</v>
      </c>
      <c r="AA241" s="52" t="s">
        <v>42</v>
      </c>
    </row>
    <row r="242">
      <c r="A242" s="52">
        <v>240.0</v>
      </c>
      <c r="B242" s="52" t="s">
        <v>1213</v>
      </c>
      <c r="C242" s="52" t="s">
        <v>1215</v>
      </c>
      <c r="D242" s="52" t="s">
        <v>1896</v>
      </c>
      <c r="E242" s="52" t="s">
        <v>1896</v>
      </c>
      <c r="F242" s="52" t="s">
        <v>1478</v>
      </c>
      <c r="G242" s="52" t="s">
        <v>1471</v>
      </c>
      <c r="H242" s="52" t="s">
        <v>583</v>
      </c>
      <c r="I242" s="52" t="s">
        <v>1897</v>
      </c>
      <c r="J242" s="52">
        <v>4.0</v>
      </c>
      <c r="K242" s="52" t="s">
        <v>1483</v>
      </c>
      <c r="L242" s="52">
        <v>25.0</v>
      </c>
      <c r="M242" s="52">
        <v>7.0</v>
      </c>
      <c r="N242" s="52" t="s">
        <v>1214</v>
      </c>
      <c r="O242" s="52" t="s">
        <v>1898</v>
      </c>
      <c r="P242" s="52" t="s">
        <v>1899</v>
      </c>
      <c r="Q242" s="52" t="s">
        <v>1900</v>
      </c>
      <c r="S242" s="52">
        <v>2.0664606E7</v>
      </c>
      <c r="T242" s="52">
        <v>29725.0</v>
      </c>
      <c r="U242" s="52">
        <v>32125.0</v>
      </c>
      <c r="V242" s="52" t="s">
        <v>98</v>
      </c>
      <c r="W242" s="69">
        <v>45748.0</v>
      </c>
      <c r="X242" s="70">
        <v>45899.0</v>
      </c>
      <c r="Z242" s="70">
        <v>45899.0</v>
      </c>
      <c r="AA242" s="52" t="s">
        <v>42</v>
      </c>
    </row>
    <row r="243">
      <c r="A243" s="52">
        <v>241.0</v>
      </c>
      <c r="B243" s="52" t="s">
        <v>1217</v>
      </c>
      <c r="C243" s="52" t="s">
        <v>1219</v>
      </c>
      <c r="D243" s="52" t="s">
        <v>1901</v>
      </c>
      <c r="E243" s="52" t="s">
        <v>1901</v>
      </c>
      <c r="F243" s="52" t="s">
        <v>1478</v>
      </c>
      <c r="G243" s="52" t="s">
        <v>1471</v>
      </c>
      <c r="H243" s="52" t="s">
        <v>583</v>
      </c>
      <c r="I243" s="52" t="s">
        <v>1541</v>
      </c>
      <c r="J243" s="52">
        <v>2.0</v>
      </c>
      <c r="K243" s="52" t="s">
        <v>1483</v>
      </c>
      <c r="L243" s="52">
        <v>0.0</v>
      </c>
      <c r="M243" s="52">
        <v>0.0</v>
      </c>
      <c r="N243" s="52" t="s">
        <v>1218</v>
      </c>
      <c r="O243" s="52">
        <v>3.0116625E7</v>
      </c>
      <c r="P243" s="52" t="s">
        <v>587</v>
      </c>
      <c r="Q243" s="52">
        <v>3.0116625E7</v>
      </c>
      <c r="S243" s="52">
        <v>3.0116625E7</v>
      </c>
      <c r="T243" s="52">
        <v>30925.0</v>
      </c>
      <c r="U243" s="52">
        <v>32225.0</v>
      </c>
      <c r="V243" s="52" t="s">
        <v>1902</v>
      </c>
      <c r="W243" s="69">
        <v>45748.0</v>
      </c>
      <c r="X243" s="70">
        <v>46022.0</v>
      </c>
      <c r="Z243" s="70">
        <v>46022.0</v>
      </c>
      <c r="AA243" s="52" t="s">
        <v>42</v>
      </c>
    </row>
    <row r="244">
      <c r="A244" s="52">
        <v>242.0</v>
      </c>
      <c r="B244" s="52" t="s">
        <v>1221</v>
      </c>
      <c r="C244" s="52" t="s">
        <v>1903</v>
      </c>
      <c r="D244" s="52" t="s">
        <v>1487</v>
      </c>
      <c r="E244" s="52" t="s">
        <v>1487</v>
      </c>
      <c r="F244" s="52" t="s">
        <v>1478</v>
      </c>
      <c r="G244" s="52" t="s">
        <v>1555</v>
      </c>
      <c r="H244" s="52" t="s">
        <v>1030</v>
      </c>
      <c r="I244" s="52" t="s">
        <v>1556</v>
      </c>
      <c r="J244" s="52" t="s">
        <v>1556</v>
      </c>
      <c r="K244" s="52" t="s">
        <v>1556</v>
      </c>
      <c r="L244" s="52" t="s">
        <v>1556</v>
      </c>
      <c r="M244" s="52" t="s">
        <v>1556</v>
      </c>
      <c r="N244" s="52" t="s">
        <v>1222</v>
      </c>
      <c r="O244" s="52">
        <v>4.7619375E8</v>
      </c>
      <c r="P244" s="52" t="s">
        <v>587</v>
      </c>
      <c r="Q244" s="52">
        <v>4.7619375E8</v>
      </c>
      <c r="S244" s="52">
        <v>4.7619375E8</v>
      </c>
      <c r="T244" s="52">
        <v>7325.0</v>
      </c>
      <c r="U244" s="52">
        <v>31825.0</v>
      </c>
      <c r="V244" s="52" t="s">
        <v>197</v>
      </c>
      <c r="W244" s="69">
        <v>45748.0</v>
      </c>
      <c r="X244" s="70">
        <v>46111.0</v>
      </c>
      <c r="Z244" s="70">
        <v>46111.0</v>
      </c>
      <c r="AA244" s="52" t="s">
        <v>42</v>
      </c>
    </row>
    <row r="245">
      <c r="A245" s="52">
        <v>243.0</v>
      </c>
      <c r="B245" s="52" t="s">
        <v>1228</v>
      </c>
      <c r="C245" s="52" t="s">
        <v>1904</v>
      </c>
      <c r="D245" s="52" t="s">
        <v>1905</v>
      </c>
      <c r="E245" s="52" t="s">
        <v>1905</v>
      </c>
      <c r="F245" s="52" t="s">
        <v>1470</v>
      </c>
      <c r="G245" s="52" t="s">
        <v>1555</v>
      </c>
      <c r="H245" s="52" t="s">
        <v>1227</v>
      </c>
      <c r="I245" s="52" t="s">
        <v>1556</v>
      </c>
      <c r="J245" s="52" t="s">
        <v>1556</v>
      </c>
      <c r="K245" s="52" t="s">
        <v>1556</v>
      </c>
      <c r="L245" s="52" t="s">
        <v>1556</v>
      </c>
      <c r="M245" s="52" t="s">
        <v>1556</v>
      </c>
      <c r="N245" s="52" t="s">
        <v>1229</v>
      </c>
      <c r="O245" s="52" t="s">
        <v>1906</v>
      </c>
      <c r="P245" s="52" t="s">
        <v>587</v>
      </c>
      <c r="Q245" s="52" t="s">
        <v>1906</v>
      </c>
      <c r="S245" s="52">
        <v>1.86244E7</v>
      </c>
      <c r="T245" s="52">
        <v>25125.0</v>
      </c>
      <c r="U245" s="52">
        <v>32025.0</v>
      </c>
      <c r="V245" s="52" t="s">
        <v>1907</v>
      </c>
      <c r="W245" s="69">
        <v>45744.0</v>
      </c>
      <c r="X245" s="70">
        <v>46022.0</v>
      </c>
      <c r="Z245" s="70">
        <v>46022.0</v>
      </c>
      <c r="AA245" s="52" t="s">
        <v>42</v>
      </c>
    </row>
    <row r="246">
      <c r="A246" s="52">
        <v>244.0</v>
      </c>
      <c r="B246" s="52" t="s">
        <v>1234</v>
      </c>
      <c r="C246" s="52" t="s">
        <v>1236</v>
      </c>
      <c r="D246" s="52" t="s">
        <v>1540</v>
      </c>
      <c r="E246" s="52" t="s">
        <v>1908</v>
      </c>
      <c r="F246" s="52" t="s">
        <v>1908</v>
      </c>
      <c r="G246" s="52" t="s">
        <v>1555</v>
      </c>
      <c r="H246" s="52" t="s">
        <v>1133</v>
      </c>
      <c r="I246" s="52" t="s">
        <v>1556</v>
      </c>
      <c r="J246" s="52" t="s">
        <v>1556</v>
      </c>
      <c r="K246" s="52" t="s">
        <v>1556</v>
      </c>
      <c r="L246" s="52" t="s">
        <v>1556</v>
      </c>
      <c r="M246" s="52" t="s">
        <v>1556</v>
      </c>
      <c r="N246" s="52" t="s">
        <v>1235</v>
      </c>
      <c r="O246" s="52" t="s">
        <v>587</v>
      </c>
      <c r="P246" s="52" t="s">
        <v>587</v>
      </c>
      <c r="Q246" s="52" t="s">
        <v>587</v>
      </c>
      <c r="S246" s="52" t="s">
        <v>1880</v>
      </c>
      <c r="T246" s="52" t="s">
        <v>39</v>
      </c>
      <c r="U246" s="52" t="s">
        <v>587</v>
      </c>
      <c r="V246" s="52" t="s">
        <v>587</v>
      </c>
      <c r="W246" s="69">
        <v>45708.0</v>
      </c>
      <c r="X246" s="70">
        <v>46387.0</v>
      </c>
      <c r="Z246" s="70">
        <v>46387.0</v>
      </c>
      <c r="AA246" s="52" t="s">
        <v>42</v>
      </c>
    </row>
    <row r="247">
      <c r="A247" s="52">
        <v>245.0</v>
      </c>
      <c r="B247" s="52" t="s">
        <v>1239</v>
      </c>
      <c r="C247" s="52" t="s">
        <v>1241</v>
      </c>
      <c r="D247" s="52" t="s">
        <v>93</v>
      </c>
      <c r="E247" s="52" t="s">
        <v>93</v>
      </c>
      <c r="F247" s="52" t="s">
        <v>1478</v>
      </c>
      <c r="G247" s="52" t="s">
        <v>1555</v>
      </c>
      <c r="H247" s="52" t="s">
        <v>1238</v>
      </c>
      <c r="I247" s="52" t="s">
        <v>1556</v>
      </c>
      <c r="J247" s="52" t="s">
        <v>1556</v>
      </c>
      <c r="K247" s="52" t="s">
        <v>1556</v>
      </c>
      <c r="L247" s="52" t="s">
        <v>1556</v>
      </c>
      <c r="M247" s="52" t="s">
        <v>1556</v>
      </c>
      <c r="N247" s="52" t="s">
        <v>1240</v>
      </c>
      <c r="O247" s="52" t="s">
        <v>1909</v>
      </c>
      <c r="P247" s="52" t="s">
        <v>587</v>
      </c>
      <c r="Q247" s="52" t="s">
        <v>1910</v>
      </c>
      <c r="S247" s="52">
        <v>3.0E8</v>
      </c>
      <c r="T247" s="52">
        <v>30125.0</v>
      </c>
      <c r="U247" s="52">
        <v>37125.0</v>
      </c>
      <c r="V247" s="52" t="s">
        <v>730</v>
      </c>
      <c r="W247" s="69">
        <v>45716.0</v>
      </c>
      <c r="X247" s="70">
        <v>45988.0</v>
      </c>
      <c r="Z247" s="70">
        <v>45988.0</v>
      </c>
      <c r="AA247" s="52" t="s">
        <v>42</v>
      </c>
    </row>
    <row r="248">
      <c r="A248" s="52">
        <v>246.0</v>
      </c>
      <c r="B248" s="52" t="s">
        <v>1246</v>
      </c>
      <c r="C248" s="52" t="s">
        <v>1248</v>
      </c>
      <c r="D248" s="52" t="s">
        <v>1487</v>
      </c>
      <c r="E248" s="52" t="s">
        <v>1487</v>
      </c>
      <c r="F248" s="52" t="s">
        <v>1478</v>
      </c>
      <c r="G248" s="52" t="s">
        <v>1555</v>
      </c>
      <c r="H248" s="52" t="s">
        <v>1030</v>
      </c>
      <c r="I248" s="52" t="s">
        <v>1556</v>
      </c>
      <c r="J248" s="52" t="s">
        <v>1556</v>
      </c>
      <c r="K248" s="52" t="s">
        <v>1556</v>
      </c>
      <c r="L248" s="52" t="s">
        <v>1556</v>
      </c>
      <c r="M248" s="52" t="s">
        <v>1556</v>
      </c>
      <c r="N248" s="52" t="s">
        <v>1247</v>
      </c>
      <c r="O248" s="52">
        <v>1.99832164E8</v>
      </c>
      <c r="P248" s="52" t="s">
        <v>587</v>
      </c>
      <c r="Q248" s="52">
        <v>1.99832164E8</v>
      </c>
      <c r="S248" s="52">
        <v>1.99832164E8</v>
      </c>
      <c r="U248" s="52">
        <v>32925.0</v>
      </c>
      <c r="V248" s="52" t="s">
        <v>197</v>
      </c>
      <c r="W248" s="69">
        <v>45755.0</v>
      </c>
      <c r="X248" s="70">
        <v>46119.0</v>
      </c>
      <c r="Z248" s="70">
        <v>46119.0</v>
      </c>
      <c r="AA248" s="52" t="s">
        <v>42</v>
      </c>
    </row>
    <row r="249">
      <c r="A249" s="52">
        <v>247.0</v>
      </c>
      <c r="B249" s="52" t="s">
        <v>1251</v>
      </c>
      <c r="C249" s="52" t="s">
        <v>1253</v>
      </c>
      <c r="D249" s="52" t="s">
        <v>1497</v>
      </c>
      <c r="E249" s="52" t="s">
        <v>1497</v>
      </c>
      <c r="F249" s="52" t="s">
        <v>1478</v>
      </c>
      <c r="G249" s="52" t="s">
        <v>1471</v>
      </c>
      <c r="H249" s="52" t="s">
        <v>583</v>
      </c>
      <c r="I249" s="52" t="s">
        <v>1472</v>
      </c>
      <c r="J249" s="52">
        <v>15.0</v>
      </c>
      <c r="K249" s="52" t="s">
        <v>1473</v>
      </c>
      <c r="L249" s="52">
        <v>29.0</v>
      </c>
      <c r="M249" s="52">
        <v>18.0</v>
      </c>
      <c r="N249" s="52" t="s">
        <v>1252</v>
      </c>
      <c r="O249" s="52">
        <v>4.2E7</v>
      </c>
      <c r="P249" s="52" t="s">
        <v>587</v>
      </c>
      <c r="Q249" s="52">
        <v>4.2E7</v>
      </c>
      <c r="S249" s="52">
        <v>4.2E7</v>
      </c>
      <c r="T249" s="52">
        <v>29825.0</v>
      </c>
      <c r="U249" s="52">
        <v>32725.0</v>
      </c>
      <c r="V249" s="52" t="s">
        <v>77</v>
      </c>
      <c r="W249" s="69">
        <v>45749.0</v>
      </c>
      <c r="X249" s="70">
        <v>45931.0</v>
      </c>
      <c r="Z249" s="70">
        <v>45931.0</v>
      </c>
      <c r="AA249" s="52" t="s">
        <v>42</v>
      </c>
    </row>
    <row r="250">
      <c r="A250" s="52">
        <v>248.0</v>
      </c>
      <c r="B250" s="52" t="s">
        <v>1255</v>
      </c>
      <c r="C250" s="52" t="s">
        <v>1257</v>
      </c>
      <c r="D250" s="52" t="s">
        <v>1497</v>
      </c>
      <c r="E250" s="52" t="s">
        <v>1497</v>
      </c>
      <c r="F250" s="52" t="s">
        <v>1478</v>
      </c>
      <c r="G250" s="52" t="s">
        <v>1471</v>
      </c>
      <c r="H250" s="52" t="s">
        <v>583</v>
      </c>
      <c r="I250" s="52" t="s">
        <v>1911</v>
      </c>
      <c r="J250" s="52">
        <v>11.0</v>
      </c>
      <c r="K250" s="52" t="s">
        <v>1483</v>
      </c>
      <c r="L250" s="52">
        <v>46.0</v>
      </c>
      <c r="M250" s="52">
        <v>46.0</v>
      </c>
      <c r="N250" s="52" t="s">
        <v>1256</v>
      </c>
      <c r="O250" s="52">
        <v>3.6212734E7</v>
      </c>
      <c r="P250" s="52" t="s">
        <v>587</v>
      </c>
      <c r="Q250" s="52">
        <v>3.6212734E7</v>
      </c>
      <c r="S250" s="52">
        <v>3.6212734E7</v>
      </c>
      <c r="T250" s="52">
        <v>29325.0</v>
      </c>
      <c r="U250" s="52">
        <v>32825.0</v>
      </c>
      <c r="V250" s="52" t="s">
        <v>98</v>
      </c>
      <c r="W250" s="69">
        <v>45751.0</v>
      </c>
      <c r="X250" s="70">
        <v>45963.0</v>
      </c>
      <c r="Z250" s="70">
        <v>45963.0</v>
      </c>
      <c r="AA250" s="52" t="s">
        <v>42</v>
      </c>
    </row>
    <row r="251">
      <c r="A251" s="52">
        <v>249.0</v>
      </c>
      <c r="B251" s="52" t="s">
        <v>1259</v>
      </c>
      <c r="C251" s="52" t="s">
        <v>1912</v>
      </c>
      <c r="D251" s="52" t="s">
        <v>1497</v>
      </c>
      <c r="E251" s="52" t="s">
        <v>1497</v>
      </c>
      <c r="F251" s="52" t="s">
        <v>1478</v>
      </c>
      <c r="G251" s="52" t="s">
        <v>1471</v>
      </c>
      <c r="H251" s="52" t="s">
        <v>583</v>
      </c>
      <c r="I251" s="52" t="s">
        <v>1913</v>
      </c>
      <c r="J251" s="52">
        <v>8.0</v>
      </c>
      <c r="K251" s="52" t="s">
        <v>1483</v>
      </c>
      <c r="L251" s="52">
        <v>41.0</v>
      </c>
      <c r="M251" s="52">
        <v>41.0</v>
      </c>
      <c r="N251" s="52" t="s">
        <v>1260</v>
      </c>
      <c r="O251" s="52">
        <v>3.427648E7</v>
      </c>
      <c r="P251" s="52" t="s">
        <v>587</v>
      </c>
      <c r="Q251" s="52">
        <v>3.427648E7</v>
      </c>
      <c r="S251" s="52">
        <v>3.427648E7</v>
      </c>
      <c r="T251" s="52">
        <v>29525.0</v>
      </c>
      <c r="U251" s="52">
        <v>34025.0</v>
      </c>
      <c r="V251" s="52" t="s">
        <v>77</v>
      </c>
      <c r="W251" s="69">
        <v>45756.0</v>
      </c>
      <c r="X251" s="70">
        <v>45983.0</v>
      </c>
      <c r="Z251" s="70">
        <v>45983.0</v>
      </c>
      <c r="AA251" s="52" t="s">
        <v>42</v>
      </c>
    </row>
    <row r="252">
      <c r="A252" s="52">
        <v>250.0</v>
      </c>
      <c r="B252" s="52" t="s">
        <v>1264</v>
      </c>
      <c r="C252" s="52" t="s">
        <v>1266</v>
      </c>
      <c r="D252" s="52" t="s">
        <v>1477</v>
      </c>
      <c r="E252" s="52" t="s">
        <v>1477</v>
      </c>
      <c r="F252" s="52" t="s">
        <v>1470</v>
      </c>
      <c r="G252" s="52" t="s">
        <v>1555</v>
      </c>
      <c r="H252" s="52" t="s">
        <v>1030</v>
      </c>
      <c r="I252" s="52" t="s">
        <v>1556</v>
      </c>
      <c r="J252" s="52" t="s">
        <v>1556</v>
      </c>
      <c r="K252" s="52" t="s">
        <v>1556</v>
      </c>
      <c r="L252" s="52" t="s">
        <v>1556</v>
      </c>
      <c r="M252" s="52" t="s">
        <v>1556</v>
      </c>
      <c r="N252" s="52" t="s">
        <v>1265</v>
      </c>
      <c r="O252" s="52" t="s">
        <v>1914</v>
      </c>
      <c r="P252" s="52" t="s">
        <v>587</v>
      </c>
      <c r="Q252" s="52" t="s">
        <v>1914</v>
      </c>
      <c r="S252" s="52">
        <v>2.0709981E7</v>
      </c>
      <c r="T252" s="52">
        <v>27325.0</v>
      </c>
      <c r="U252" s="52">
        <v>34225.0</v>
      </c>
      <c r="V252" s="52" t="s">
        <v>858</v>
      </c>
      <c r="W252" s="69">
        <v>45769.0</v>
      </c>
      <c r="X252" s="70">
        <v>46006.0</v>
      </c>
      <c r="Z252" s="70">
        <v>46006.0</v>
      </c>
      <c r="AA252" s="52" t="s">
        <v>42</v>
      </c>
    </row>
    <row r="253">
      <c r="A253" s="52">
        <v>251.0</v>
      </c>
      <c r="B253" s="52" t="s">
        <v>1270</v>
      </c>
      <c r="C253" s="52" t="s">
        <v>1272</v>
      </c>
      <c r="D253" s="52" t="s">
        <v>1497</v>
      </c>
      <c r="E253" s="52" t="s">
        <v>1497</v>
      </c>
      <c r="F253" s="52" t="s">
        <v>1478</v>
      </c>
      <c r="G253" s="52" t="s">
        <v>1471</v>
      </c>
      <c r="H253" s="52" t="s">
        <v>583</v>
      </c>
      <c r="I253" s="52" t="s">
        <v>1526</v>
      </c>
      <c r="J253" s="52">
        <v>10.0</v>
      </c>
      <c r="K253" s="52" t="s">
        <v>1483</v>
      </c>
      <c r="L253" s="52">
        <v>37.0</v>
      </c>
      <c r="M253" s="52">
        <v>28.0</v>
      </c>
      <c r="N253" s="52" t="s">
        <v>1271</v>
      </c>
      <c r="O253" s="52" t="s">
        <v>1915</v>
      </c>
      <c r="Q253" s="52">
        <v>3.75799E7</v>
      </c>
      <c r="S253" s="52">
        <v>3.75799E7</v>
      </c>
      <c r="T253" s="52">
        <v>29925.0</v>
      </c>
      <c r="U253" s="52">
        <v>34525.0</v>
      </c>
      <c r="V253" s="52" t="s">
        <v>77</v>
      </c>
      <c r="W253" s="69">
        <v>45758.0</v>
      </c>
      <c r="X253" s="70">
        <v>45971.0</v>
      </c>
      <c r="Z253" s="70">
        <v>45971.0</v>
      </c>
      <c r="AA253" s="52" t="s">
        <v>42</v>
      </c>
    </row>
    <row r="254">
      <c r="A254" s="52">
        <v>252.0</v>
      </c>
      <c r="B254" s="52" t="s">
        <v>1274</v>
      </c>
      <c r="C254" s="52" t="s">
        <v>1276</v>
      </c>
      <c r="D254" s="52" t="s">
        <v>1901</v>
      </c>
      <c r="E254" s="52" t="s">
        <v>1901</v>
      </c>
      <c r="F254" s="52" t="s">
        <v>1478</v>
      </c>
      <c r="G254" s="52" t="s">
        <v>1555</v>
      </c>
      <c r="H254" s="52" t="s">
        <v>1238</v>
      </c>
      <c r="I254" s="52" t="s">
        <v>1556</v>
      </c>
      <c r="J254" s="52" t="s">
        <v>1556</v>
      </c>
      <c r="K254" s="52" t="s">
        <v>1556</v>
      </c>
      <c r="L254" s="52" t="s">
        <v>1556</v>
      </c>
      <c r="M254" s="52" t="s">
        <v>1556</v>
      </c>
      <c r="N254" s="52" t="s">
        <v>1275</v>
      </c>
      <c r="O254" s="52" t="s">
        <v>1916</v>
      </c>
      <c r="Q254" s="52">
        <v>1.92E8</v>
      </c>
      <c r="S254" s="52">
        <v>1.92E8</v>
      </c>
      <c r="T254" s="52">
        <v>30525.0</v>
      </c>
      <c r="U254" s="52">
        <v>34825.0</v>
      </c>
      <c r="V254" s="52" t="s">
        <v>47</v>
      </c>
      <c r="W254" s="69">
        <v>45763.0</v>
      </c>
      <c r="X254" s="70">
        <v>45991.0</v>
      </c>
      <c r="Z254" s="70">
        <v>45991.0</v>
      </c>
      <c r="AA254" s="52" t="s">
        <v>42</v>
      </c>
    </row>
    <row r="255">
      <c r="A255" s="52">
        <v>253.0</v>
      </c>
      <c r="B255" s="52" t="s">
        <v>1280</v>
      </c>
      <c r="C255" s="52" t="s">
        <v>1282</v>
      </c>
      <c r="D255" s="52" t="s">
        <v>1497</v>
      </c>
      <c r="E255" s="52" t="s">
        <v>1497</v>
      </c>
      <c r="F255" s="52" t="s">
        <v>1478</v>
      </c>
      <c r="G255" s="52" t="s">
        <v>1471</v>
      </c>
      <c r="H255" s="52" t="s">
        <v>583</v>
      </c>
      <c r="I255" s="52" t="s">
        <v>1917</v>
      </c>
      <c r="J255" s="52">
        <v>15.0</v>
      </c>
      <c r="K255" s="52" t="s">
        <v>1473</v>
      </c>
      <c r="L255" s="52">
        <v>36.0</v>
      </c>
      <c r="M255" s="52">
        <v>14.0</v>
      </c>
      <c r="N255" s="52" t="s">
        <v>1281</v>
      </c>
      <c r="O255" s="52" t="s">
        <v>1918</v>
      </c>
      <c r="Q255" s="52">
        <v>5.4841995E7</v>
      </c>
      <c r="S255" s="52">
        <v>5.4841995E7</v>
      </c>
      <c r="T255" s="52">
        <v>29425.0</v>
      </c>
      <c r="U255" s="52">
        <v>34425.0</v>
      </c>
      <c r="V255" s="52" t="s">
        <v>98</v>
      </c>
      <c r="W255" s="69">
        <v>45758.0</v>
      </c>
      <c r="X255" s="70">
        <v>46001.0</v>
      </c>
      <c r="Z255" s="70">
        <v>46001.0</v>
      </c>
      <c r="AA255" s="52" t="s">
        <v>42</v>
      </c>
    </row>
    <row r="256">
      <c r="A256" s="52">
        <v>254.0</v>
      </c>
      <c r="B256" s="52" t="s">
        <v>1284</v>
      </c>
      <c r="C256" s="52" t="s">
        <v>1285</v>
      </c>
      <c r="D256" s="52" t="s">
        <v>1896</v>
      </c>
      <c r="E256" s="52" t="s">
        <v>1896</v>
      </c>
      <c r="F256" s="52" t="s">
        <v>1478</v>
      </c>
      <c r="G256" s="52" t="s">
        <v>1471</v>
      </c>
      <c r="H256" s="52" t="s">
        <v>583</v>
      </c>
      <c r="I256" s="52" t="s">
        <v>1919</v>
      </c>
      <c r="J256" s="52">
        <v>19.0</v>
      </c>
      <c r="K256" s="52" t="s">
        <v>1473</v>
      </c>
      <c r="L256" s="52">
        <v>42.0</v>
      </c>
      <c r="M256" s="52">
        <v>32.0</v>
      </c>
      <c r="N256" s="52" t="s">
        <v>1260</v>
      </c>
      <c r="O256" s="52" t="s">
        <v>1920</v>
      </c>
      <c r="Q256" s="52" t="s">
        <v>1920</v>
      </c>
      <c r="R256" s="72">
        <v>-2099300.0</v>
      </c>
      <c r="S256" s="52">
        <v>8.3240701E7</v>
      </c>
      <c r="T256" s="52">
        <v>28425.0</v>
      </c>
      <c r="U256" s="52">
        <v>33625.0</v>
      </c>
      <c r="V256" s="52" t="s">
        <v>77</v>
      </c>
      <c r="W256" s="69">
        <v>45755.0</v>
      </c>
      <c r="X256" s="70">
        <v>46022.0</v>
      </c>
      <c r="Z256" s="70">
        <v>46022.0</v>
      </c>
      <c r="AA256" s="52" t="s">
        <v>42</v>
      </c>
    </row>
    <row r="257">
      <c r="A257" s="52">
        <v>255.0</v>
      </c>
      <c r="B257" s="52" t="s">
        <v>1288</v>
      </c>
      <c r="C257" s="52" t="s">
        <v>1290</v>
      </c>
      <c r="D257" s="52" t="s">
        <v>113</v>
      </c>
      <c r="E257" s="52" t="s">
        <v>113</v>
      </c>
      <c r="F257" s="52" t="s">
        <v>1478</v>
      </c>
      <c r="G257" s="52" t="s">
        <v>1555</v>
      </c>
      <c r="H257" s="52" t="s">
        <v>1191</v>
      </c>
      <c r="I257" s="52" t="s">
        <v>1556</v>
      </c>
      <c r="J257" s="52" t="s">
        <v>1556</v>
      </c>
      <c r="K257" s="52" t="s">
        <v>1556</v>
      </c>
      <c r="L257" s="52" t="s">
        <v>1556</v>
      </c>
      <c r="M257" s="52" t="s">
        <v>1556</v>
      </c>
      <c r="N257" s="52" t="s">
        <v>1289</v>
      </c>
      <c r="O257" s="52" t="s">
        <v>1921</v>
      </c>
      <c r="Q257" s="52">
        <v>3.9E8</v>
      </c>
      <c r="R257" s="52" t="s">
        <v>1922</v>
      </c>
      <c r="S257" s="52">
        <v>4.125E8</v>
      </c>
      <c r="T257" s="52">
        <v>30325.0</v>
      </c>
      <c r="U257" s="52">
        <v>33825.0</v>
      </c>
      <c r="V257" s="52" t="s">
        <v>1108</v>
      </c>
      <c r="W257" s="69">
        <v>45755.0</v>
      </c>
      <c r="X257" s="70">
        <v>46116.0</v>
      </c>
      <c r="Z257" s="70">
        <v>46006.0</v>
      </c>
      <c r="AA257" s="52" t="s">
        <v>42</v>
      </c>
    </row>
    <row r="258">
      <c r="A258" s="52">
        <v>256.0</v>
      </c>
      <c r="B258" s="52" t="s">
        <v>1294</v>
      </c>
      <c r="C258" s="52" t="s">
        <v>1923</v>
      </c>
      <c r="D258" s="52" t="s">
        <v>1477</v>
      </c>
      <c r="E258" s="52" t="s">
        <v>1477</v>
      </c>
      <c r="F258" s="52" t="s">
        <v>1470</v>
      </c>
      <c r="G258" s="52" t="s">
        <v>1555</v>
      </c>
      <c r="H258" s="52" t="s">
        <v>1293</v>
      </c>
      <c r="I258" s="52" t="s">
        <v>1556</v>
      </c>
      <c r="J258" s="52" t="s">
        <v>1556</v>
      </c>
      <c r="K258" s="52" t="s">
        <v>1556</v>
      </c>
      <c r="L258" s="52" t="s">
        <v>1556</v>
      </c>
      <c r="M258" s="52" t="s">
        <v>1556</v>
      </c>
      <c r="N258" s="52" t="s">
        <v>1295</v>
      </c>
      <c r="O258" s="52" t="s">
        <v>1924</v>
      </c>
      <c r="Q258" s="52">
        <v>8939784.0</v>
      </c>
      <c r="S258" s="52">
        <v>8939784.0</v>
      </c>
      <c r="T258" s="52">
        <v>29125.0</v>
      </c>
      <c r="U258" s="52">
        <v>34925.0</v>
      </c>
      <c r="V258" s="52" t="s">
        <v>1925</v>
      </c>
      <c r="W258" s="69">
        <v>45761.0</v>
      </c>
      <c r="X258" s="70">
        <v>46006.0</v>
      </c>
      <c r="Z258" s="70">
        <v>46022.0</v>
      </c>
      <c r="AA258" s="52" t="s">
        <v>42</v>
      </c>
    </row>
    <row r="259">
      <c r="A259" s="52">
        <v>257.0</v>
      </c>
      <c r="B259" s="52" t="s">
        <v>1300</v>
      </c>
      <c r="C259" s="52" t="s">
        <v>1926</v>
      </c>
      <c r="D259" s="52" t="s">
        <v>182</v>
      </c>
      <c r="E259" s="52" t="s">
        <v>182</v>
      </c>
      <c r="F259" s="52" t="s">
        <v>1478</v>
      </c>
      <c r="G259" s="52" t="s">
        <v>1471</v>
      </c>
      <c r="H259" s="52" t="s">
        <v>583</v>
      </c>
      <c r="I259" s="52" t="s">
        <v>1479</v>
      </c>
      <c r="J259" s="52">
        <v>18.0</v>
      </c>
      <c r="K259" s="52" t="s">
        <v>1473</v>
      </c>
      <c r="L259" s="52">
        <v>55.0</v>
      </c>
      <c r="M259" s="52">
        <v>34.0</v>
      </c>
      <c r="N259" s="52" t="s">
        <v>1301</v>
      </c>
      <c r="O259" s="52" t="s">
        <v>1927</v>
      </c>
      <c r="Q259" s="52">
        <v>7.4233333E7</v>
      </c>
      <c r="S259" s="52">
        <v>7.4233333E7</v>
      </c>
      <c r="T259" s="52">
        <v>31925.0</v>
      </c>
      <c r="U259" s="52">
        <v>34125.0</v>
      </c>
      <c r="V259" s="52" t="s">
        <v>53</v>
      </c>
      <c r="W259" s="69">
        <v>45757.0</v>
      </c>
      <c r="X259" s="70">
        <v>46022.0</v>
      </c>
      <c r="Z259" s="70">
        <v>46022.0</v>
      </c>
      <c r="AA259" s="52" t="s">
        <v>42</v>
      </c>
    </row>
    <row r="260">
      <c r="A260" s="52">
        <v>258.0</v>
      </c>
      <c r="B260" s="52" t="s">
        <v>1304</v>
      </c>
      <c r="C260" s="52" t="s">
        <v>1928</v>
      </c>
      <c r="D260" s="52" t="s">
        <v>182</v>
      </c>
      <c r="E260" s="52" t="s">
        <v>182</v>
      </c>
      <c r="F260" s="52" t="s">
        <v>1478</v>
      </c>
      <c r="G260" s="52" t="s">
        <v>1471</v>
      </c>
      <c r="H260" s="52" t="s">
        <v>583</v>
      </c>
      <c r="I260" s="52" t="s">
        <v>1479</v>
      </c>
      <c r="J260" s="52">
        <v>19.0</v>
      </c>
      <c r="K260" s="52" t="s">
        <v>1473</v>
      </c>
      <c r="L260" s="52">
        <v>76.0</v>
      </c>
      <c r="M260" s="52">
        <v>76.0</v>
      </c>
      <c r="N260" s="52" t="s">
        <v>1305</v>
      </c>
      <c r="O260" s="52" t="s">
        <v>1929</v>
      </c>
      <c r="Q260" s="52">
        <v>8.2333333E7</v>
      </c>
      <c r="S260" s="52">
        <v>8.2333333E7</v>
      </c>
      <c r="T260" s="52">
        <v>31825.0</v>
      </c>
      <c r="U260" s="52">
        <v>34725.0</v>
      </c>
      <c r="V260" s="52" t="s">
        <v>53</v>
      </c>
      <c r="W260" s="69">
        <v>45762.0</v>
      </c>
      <c r="X260" s="70">
        <v>46022.0</v>
      </c>
      <c r="Z260" s="70">
        <v>45984.0</v>
      </c>
      <c r="AA260" s="52" t="s">
        <v>42</v>
      </c>
    </row>
    <row r="261">
      <c r="A261" s="52">
        <v>259.0</v>
      </c>
      <c r="B261" s="52" t="s">
        <v>1308</v>
      </c>
      <c r="C261" s="52" t="s">
        <v>1310</v>
      </c>
      <c r="D261" s="52" t="s">
        <v>1497</v>
      </c>
      <c r="E261" s="52" t="s">
        <v>1497</v>
      </c>
      <c r="F261" s="52" t="s">
        <v>1478</v>
      </c>
      <c r="G261" s="52" t="s">
        <v>1555</v>
      </c>
      <c r="H261" s="52" t="s">
        <v>1030</v>
      </c>
      <c r="I261" s="52" t="s">
        <v>1556</v>
      </c>
      <c r="J261" s="52" t="s">
        <v>1556</v>
      </c>
      <c r="K261" s="52" t="s">
        <v>1556</v>
      </c>
      <c r="L261" s="52" t="s">
        <v>1556</v>
      </c>
      <c r="M261" s="52" t="s">
        <v>1556</v>
      </c>
      <c r="N261" s="52" t="s">
        <v>1309</v>
      </c>
      <c r="O261" s="52" t="s">
        <v>1700</v>
      </c>
      <c r="Q261" s="52" t="s">
        <v>1700</v>
      </c>
      <c r="S261" s="52">
        <v>6.0E7</v>
      </c>
      <c r="T261" s="52">
        <v>28325.0</v>
      </c>
      <c r="U261" s="52">
        <v>35625.0</v>
      </c>
      <c r="V261" s="52" t="s">
        <v>77</v>
      </c>
      <c r="W261" s="69">
        <v>45771.0</v>
      </c>
      <c r="X261" s="70">
        <v>45984.0</v>
      </c>
      <c r="Z261" s="70">
        <v>45861.0</v>
      </c>
      <c r="AA261" s="52" t="s">
        <v>42</v>
      </c>
    </row>
    <row r="262">
      <c r="A262" s="52">
        <v>260.0</v>
      </c>
      <c r="B262" s="52" t="s">
        <v>1313</v>
      </c>
      <c r="C262" s="52" t="s">
        <v>1315</v>
      </c>
      <c r="D262" s="52" t="s">
        <v>1477</v>
      </c>
      <c r="E262" s="52" t="s">
        <v>41</v>
      </c>
      <c r="F262" s="52" t="s">
        <v>1470</v>
      </c>
      <c r="G262" s="52" t="s">
        <v>1555</v>
      </c>
      <c r="H262" s="52" t="s">
        <v>1312</v>
      </c>
      <c r="I262" s="52" t="s">
        <v>1556</v>
      </c>
      <c r="J262" s="52" t="s">
        <v>1556</v>
      </c>
      <c r="K262" s="52" t="s">
        <v>1556</v>
      </c>
      <c r="L262" s="52" t="s">
        <v>1556</v>
      </c>
      <c r="M262" s="52" t="s">
        <v>1556</v>
      </c>
      <c r="N262" s="52" t="s">
        <v>1314</v>
      </c>
      <c r="O262" s="52" t="s">
        <v>1930</v>
      </c>
      <c r="Q262" s="52" t="s">
        <v>1930</v>
      </c>
      <c r="S262" s="52">
        <v>1.35372026E8</v>
      </c>
      <c r="T262" s="52">
        <v>30725.0</v>
      </c>
      <c r="U262" s="52">
        <v>35925.0</v>
      </c>
      <c r="V262" s="52" t="s">
        <v>1317</v>
      </c>
      <c r="W262" s="69">
        <v>45771.0</v>
      </c>
      <c r="X262" s="70">
        <v>45861.0</v>
      </c>
      <c r="Z262" s="70">
        <v>46022.0</v>
      </c>
      <c r="AA262" s="52" t="s">
        <v>42</v>
      </c>
    </row>
    <row r="263">
      <c r="A263" s="52">
        <v>261.0</v>
      </c>
      <c r="B263" s="52" t="s">
        <v>1320</v>
      </c>
      <c r="C263" s="52" t="s">
        <v>1322</v>
      </c>
      <c r="D263" s="52" t="s">
        <v>1931</v>
      </c>
      <c r="E263" s="52" t="s">
        <v>1931</v>
      </c>
      <c r="F263" s="52" t="s">
        <v>1478</v>
      </c>
      <c r="G263" s="52" t="s">
        <v>1471</v>
      </c>
      <c r="H263" s="52" t="s">
        <v>1030</v>
      </c>
      <c r="I263" s="52" t="s">
        <v>1689</v>
      </c>
      <c r="J263" s="52">
        <v>2.0</v>
      </c>
      <c r="K263" s="52" t="s">
        <v>1483</v>
      </c>
      <c r="L263" s="52">
        <v>0.0</v>
      </c>
      <c r="M263" s="52">
        <v>0.0</v>
      </c>
      <c r="N263" s="52" t="s">
        <v>1321</v>
      </c>
      <c r="O263" s="52" t="s">
        <v>1932</v>
      </c>
      <c r="Q263" s="52" t="s">
        <v>1932</v>
      </c>
      <c r="S263" s="52">
        <v>2.8145355E7</v>
      </c>
      <c r="T263" s="52">
        <v>32425.0</v>
      </c>
      <c r="U263" s="52">
        <v>35825.0</v>
      </c>
      <c r="V263" s="52" t="s">
        <v>67</v>
      </c>
      <c r="W263" s="69">
        <v>45769.0</v>
      </c>
      <c r="X263" s="70">
        <v>46022.0</v>
      </c>
      <c r="Z263" s="70">
        <v>46022.0</v>
      </c>
      <c r="AA263" s="52" t="s">
        <v>42</v>
      </c>
    </row>
    <row r="264">
      <c r="A264" s="52">
        <v>262.0</v>
      </c>
      <c r="B264" s="52" t="s">
        <v>1325</v>
      </c>
      <c r="C264" s="52" t="s">
        <v>1327</v>
      </c>
      <c r="D264" s="52" t="s">
        <v>1469</v>
      </c>
      <c r="E264" s="52" t="s">
        <v>1469</v>
      </c>
      <c r="F264" s="52" t="s">
        <v>1470</v>
      </c>
      <c r="G264" s="52" t="s">
        <v>1471</v>
      </c>
      <c r="H264" s="52" t="s">
        <v>583</v>
      </c>
      <c r="I264" s="52" t="s">
        <v>1526</v>
      </c>
      <c r="J264" s="52">
        <v>4.0</v>
      </c>
      <c r="K264" s="52" t="s">
        <v>1483</v>
      </c>
      <c r="L264" s="52">
        <v>22.0</v>
      </c>
      <c r="M264" s="52">
        <v>12.0</v>
      </c>
      <c r="N264" s="52" t="s">
        <v>1326</v>
      </c>
      <c r="O264" s="52" t="s">
        <v>1933</v>
      </c>
      <c r="Q264" s="52" t="s">
        <v>1933</v>
      </c>
      <c r="R264" s="72">
        <v>-1264900.0</v>
      </c>
      <c r="S264" s="52">
        <v>3.16225E7</v>
      </c>
      <c r="T264" s="52">
        <v>31425.0</v>
      </c>
      <c r="U264" s="52">
        <v>35725.0</v>
      </c>
      <c r="V264" s="52" t="s">
        <v>91</v>
      </c>
      <c r="W264" s="69">
        <v>45768.0</v>
      </c>
      <c r="X264" s="70">
        <v>46022.0</v>
      </c>
      <c r="Z264" s="70">
        <v>46854.0</v>
      </c>
      <c r="AA264" s="52" t="s">
        <v>42</v>
      </c>
    </row>
    <row r="265">
      <c r="A265" s="52">
        <v>263.0</v>
      </c>
      <c r="B265" s="52" t="s">
        <v>1934</v>
      </c>
      <c r="C265" s="52" t="s">
        <v>1331</v>
      </c>
      <c r="D265" s="52" t="s">
        <v>1931</v>
      </c>
      <c r="E265" s="52" t="s">
        <v>1931</v>
      </c>
      <c r="F265" s="52" t="s">
        <v>1908</v>
      </c>
      <c r="G265" s="52" t="s">
        <v>1555</v>
      </c>
      <c r="H265" s="52" t="s">
        <v>1133</v>
      </c>
      <c r="I265" s="52" t="s">
        <v>1556</v>
      </c>
      <c r="J265" s="52" t="s">
        <v>1556</v>
      </c>
      <c r="K265" s="52" t="s">
        <v>1556</v>
      </c>
      <c r="L265" s="52" t="s">
        <v>1556</v>
      </c>
      <c r="M265" s="52" t="s">
        <v>1556</v>
      </c>
      <c r="N265" s="52" t="s">
        <v>1330</v>
      </c>
      <c r="O265" s="52" t="s">
        <v>587</v>
      </c>
      <c r="Q265" s="52" t="s">
        <v>587</v>
      </c>
      <c r="S265" s="52">
        <v>0.0</v>
      </c>
      <c r="T265" s="52" t="s">
        <v>39</v>
      </c>
      <c r="U265" s="52" t="s">
        <v>587</v>
      </c>
      <c r="V265" s="52" t="s">
        <v>587</v>
      </c>
      <c r="W265" s="69">
        <v>45759.0</v>
      </c>
      <c r="X265" s="70">
        <v>46854.0</v>
      </c>
      <c r="Z265" s="70">
        <v>46854.0</v>
      </c>
      <c r="AA265" s="52" t="s">
        <v>42</v>
      </c>
    </row>
    <row r="266">
      <c r="A266" s="52">
        <v>264.0</v>
      </c>
      <c r="B266" s="52" t="s">
        <v>1336</v>
      </c>
      <c r="C266" s="52" t="s">
        <v>1338</v>
      </c>
      <c r="D266" s="52" t="s">
        <v>1497</v>
      </c>
      <c r="E266" s="52" t="s">
        <v>1497</v>
      </c>
      <c r="F266" s="52" t="s">
        <v>1478</v>
      </c>
      <c r="G266" s="52" t="s">
        <v>1471</v>
      </c>
      <c r="H266" s="52" t="s">
        <v>583</v>
      </c>
      <c r="I266" s="52" t="s">
        <v>1479</v>
      </c>
      <c r="J266" s="52">
        <v>17.0</v>
      </c>
      <c r="K266" s="52" t="s">
        <v>1473</v>
      </c>
      <c r="L266" s="52">
        <v>46.0</v>
      </c>
      <c r="M266" s="52">
        <v>34.0</v>
      </c>
      <c r="N266" s="52" t="s">
        <v>1337</v>
      </c>
      <c r="O266" s="52" t="s">
        <v>1935</v>
      </c>
      <c r="Q266" s="52" t="s">
        <v>1935</v>
      </c>
      <c r="S266" s="52">
        <v>4.8E7</v>
      </c>
      <c r="T266" s="52">
        <v>15825.0</v>
      </c>
      <c r="U266" s="52">
        <v>35225.0</v>
      </c>
      <c r="V266" s="52" t="s">
        <v>77</v>
      </c>
      <c r="W266" s="69">
        <v>45763.0</v>
      </c>
      <c r="X266" s="70">
        <v>45945.0</v>
      </c>
      <c r="Z266" s="70">
        <v>45945.0</v>
      </c>
      <c r="AA266" s="52" t="s">
        <v>42</v>
      </c>
    </row>
    <row r="267">
      <c r="A267" s="52">
        <v>265.0</v>
      </c>
      <c r="B267" s="52" t="s">
        <v>1341</v>
      </c>
      <c r="C267" s="52" t="s">
        <v>1936</v>
      </c>
      <c r="D267" s="52" t="s">
        <v>1477</v>
      </c>
      <c r="E267" s="52" t="s">
        <v>1477</v>
      </c>
      <c r="F267" s="52" t="s">
        <v>1470</v>
      </c>
      <c r="G267" s="52" t="s">
        <v>1471</v>
      </c>
      <c r="H267" s="52" t="s">
        <v>1340</v>
      </c>
      <c r="I267" s="52" t="s">
        <v>1937</v>
      </c>
      <c r="J267" s="52">
        <v>14.0</v>
      </c>
      <c r="K267" s="52" t="s">
        <v>1473</v>
      </c>
      <c r="L267" s="52">
        <v>46.0</v>
      </c>
      <c r="M267" s="52">
        <v>34.0</v>
      </c>
      <c r="N267" s="52" t="s">
        <v>1342</v>
      </c>
      <c r="O267" s="52" t="s">
        <v>1938</v>
      </c>
      <c r="Q267" s="52" t="s">
        <v>1938</v>
      </c>
      <c r="S267" s="52">
        <v>1.95E7</v>
      </c>
      <c r="T267" s="52">
        <v>25725.0</v>
      </c>
      <c r="U267" s="52">
        <v>36025.0</v>
      </c>
      <c r="V267" s="52" t="s">
        <v>145</v>
      </c>
      <c r="W267" s="69">
        <v>45769.0</v>
      </c>
      <c r="X267" s="70">
        <v>45859.0</v>
      </c>
      <c r="Z267" s="70">
        <v>45859.0</v>
      </c>
      <c r="AA267" s="52" t="s">
        <v>42</v>
      </c>
    </row>
    <row r="268">
      <c r="A268" s="52">
        <v>266.0</v>
      </c>
      <c r="B268" s="52" t="s">
        <v>1346</v>
      </c>
      <c r="C268" s="52" t="s">
        <v>1348</v>
      </c>
      <c r="D268" s="52" t="s">
        <v>182</v>
      </c>
      <c r="E268" s="52" t="s">
        <v>182</v>
      </c>
      <c r="F268" s="52" t="s">
        <v>1478</v>
      </c>
      <c r="G268" s="52" t="s">
        <v>1555</v>
      </c>
      <c r="H268" s="52" t="s">
        <v>81</v>
      </c>
      <c r="I268" s="52" t="s">
        <v>1556</v>
      </c>
      <c r="J268" s="52" t="s">
        <v>1556</v>
      </c>
      <c r="K268" s="52" t="s">
        <v>1556</v>
      </c>
      <c r="L268" s="52" t="s">
        <v>1556</v>
      </c>
      <c r="M268" s="52" t="s">
        <v>1556</v>
      </c>
      <c r="N268" s="52" t="s">
        <v>1347</v>
      </c>
      <c r="O268" s="52" t="s">
        <v>1939</v>
      </c>
      <c r="Q268" s="52" t="s">
        <v>1940</v>
      </c>
      <c r="S268" s="52">
        <v>6.88481282E8</v>
      </c>
      <c r="T268" s="52">
        <v>31025.0</v>
      </c>
      <c r="U268" s="52">
        <v>35525.0</v>
      </c>
      <c r="V268" s="52" t="s">
        <v>53</v>
      </c>
      <c r="W268" s="69">
        <v>45764.0</v>
      </c>
      <c r="X268" s="70">
        <v>46128.0</v>
      </c>
      <c r="Z268" s="70">
        <v>46128.0</v>
      </c>
      <c r="AA268" s="52" t="s">
        <v>42</v>
      </c>
    </row>
    <row r="269">
      <c r="A269" s="52">
        <v>267.0</v>
      </c>
      <c r="B269" s="52" t="s">
        <v>1353</v>
      </c>
      <c r="C269" s="52" t="s">
        <v>1355</v>
      </c>
      <c r="D269" s="52" t="s">
        <v>1477</v>
      </c>
      <c r="E269" s="52" t="s">
        <v>1477</v>
      </c>
      <c r="F269" s="52" t="s">
        <v>1470</v>
      </c>
      <c r="G269" s="52" t="s">
        <v>1555</v>
      </c>
      <c r="H269" s="52" t="s">
        <v>1352</v>
      </c>
      <c r="I269" s="52" t="s">
        <v>1556</v>
      </c>
      <c r="J269" s="52" t="s">
        <v>1556</v>
      </c>
      <c r="K269" s="52" t="s">
        <v>1556</v>
      </c>
      <c r="L269" s="52" t="s">
        <v>1556</v>
      </c>
      <c r="M269" s="52" t="s">
        <v>1556</v>
      </c>
      <c r="N269" s="52" t="s">
        <v>1354</v>
      </c>
      <c r="O269" s="52" t="s">
        <v>1941</v>
      </c>
      <c r="Q269" s="52" t="s">
        <v>1941</v>
      </c>
      <c r="S269" s="52">
        <v>1.78844605E8</v>
      </c>
      <c r="T269" s="52">
        <v>35425.0</v>
      </c>
      <c r="U269" s="52">
        <v>35425.0</v>
      </c>
      <c r="V269" s="52" t="s">
        <v>648</v>
      </c>
      <c r="W269" s="69">
        <v>45770.0</v>
      </c>
      <c r="X269" s="70">
        <v>45891.0</v>
      </c>
      <c r="Z269" s="70">
        <v>45891.0</v>
      </c>
      <c r="AA269" s="52" t="s">
        <v>42</v>
      </c>
    </row>
    <row r="270">
      <c r="A270" s="52">
        <v>268.0</v>
      </c>
      <c r="B270" s="52" t="s">
        <v>1358</v>
      </c>
      <c r="C270" s="52" t="s">
        <v>1360</v>
      </c>
      <c r="D270" s="52" t="s">
        <v>182</v>
      </c>
      <c r="E270" s="52" t="s">
        <v>182</v>
      </c>
      <c r="F270" s="52" t="s">
        <v>1942</v>
      </c>
      <c r="G270" s="52" t="s">
        <v>1555</v>
      </c>
      <c r="H270" s="52" t="s">
        <v>1030</v>
      </c>
      <c r="I270" s="52" t="s">
        <v>1556</v>
      </c>
      <c r="J270" s="52" t="s">
        <v>1556</v>
      </c>
      <c r="K270" s="52" t="s">
        <v>1556</v>
      </c>
      <c r="L270" s="52" t="s">
        <v>1556</v>
      </c>
      <c r="M270" s="52" t="s">
        <v>1556</v>
      </c>
      <c r="N270" s="52" t="s">
        <v>1359</v>
      </c>
      <c r="O270" s="52" t="s">
        <v>1943</v>
      </c>
      <c r="Q270" s="52" t="s">
        <v>1943</v>
      </c>
      <c r="S270" s="52">
        <v>7.38036E7</v>
      </c>
      <c r="T270" s="52">
        <v>34125.0</v>
      </c>
      <c r="U270" s="52">
        <v>37725.0</v>
      </c>
      <c r="V270" s="52" t="s">
        <v>1361</v>
      </c>
      <c r="W270" s="69">
        <v>45789.0</v>
      </c>
      <c r="X270" s="70">
        <v>46022.0</v>
      </c>
      <c r="Z270" s="70">
        <v>46022.0</v>
      </c>
      <c r="AA270" s="52" t="s">
        <v>42</v>
      </c>
    </row>
    <row r="271">
      <c r="A271" s="52">
        <v>269.0</v>
      </c>
      <c r="B271" s="52" t="s">
        <v>1371</v>
      </c>
      <c r="C271" s="52" t="s">
        <v>1373</v>
      </c>
      <c r="D271" s="52" t="s">
        <v>1487</v>
      </c>
      <c r="E271" s="52" t="s">
        <v>1487</v>
      </c>
      <c r="G271" s="52" t="s">
        <v>1471</v>
      </c>
      <c r="H271" s="52" t="s">
        <v>583</v>
      </c>
      <c r="I271" s="52" t="s">
        <v>1584</v>
      </c>
      <c r="J271" s="52">
        <v>9.0</v>
      </c>
      <c r="K271" s="52" t="s">
        <v>1483</v>
      </c>
      <c r="L271" s="52">
        <v>111.0</v>
      </c>
      <c r="M271" s="52">
        <v>42.0</v>
      </c>
      <c r="N271" s="52" t="s">
        <v>1372</v>
      </c>
      <c r="O271" s="52" t="s">
        <v>1944</v>
      </c>
      <c r="Q271" s="52" t="s">
        <v>1944</v>
      </c>
      <c r="S271" s="52">
        <v>1.0E7</v>
      </c>
      <c r="T271" s="52">
        <v>33525.0</v>
      </c>
      <c r="U271" s="52">
        <v>39625.0</v>
      </c>
      <c r="V271" s="52" t="s">
        <v>191</v>
      </c>
      <c r="W271" s="69">
        <v>45790.0</v>
      </c>
      <c r="X271" s="70">
        <v>45850.0</v>
      </c>
      <c r="Z271" s="70">
        <v>45850.0</v>
      </c>
      <c r="AA271" s="52" t="s">
        <v>42</v>
      </c>
    </row>
    <row r="272">
      <c r="A272" s="52">
        <v>270.0</v>
      </c>
      <c r="B272" s="52" t="s">
        <v>1375</v>
      </c>
      <c r="C272" s="52" t="s">
        <v>1377</v>
      </c>
      <c r="D272" s="52" t="s">
        <v>1905</v>
      </c>
      <c r="E272" s="52" t="s">
        <v>1905</v>
      </c>
      <c r="F272" s="52" t="s">
        <v>1470</v>
      </c>
      <c r="G272" s="52" t="s">
        <v>1555</v>
      </c>
      <c r="H272" s="52" t="s">
        <v>81</v>
      </c>
      <c r="I272" s="52" t="s">
        <v>1556</v>
      </c>
      <c r="J272" s="52" t="s">
        <v>1556</v>
      </c>
      <c r="K272" s="52" t="s">
        <v>1556</v>
      </c>
      <c r="L272" s="52" t="s">
        <v>1556</v>
      </c>
      <c r="M272" s="52" t="s">
        <v>1556</v>
      </c>
      <c r="N272" s="52" t="s">
        <v>1945</v>
      </c>
      <c r="O272" s="52" t="s">
        <v>1946</v>
      </c>
      <c r="Q272" s="52" t="s">
        <v>1946</v>
      </c>
      <c r="S272" s="52">
        <v>4381507.0</v>
      </c>
      <c r="T272" s="52">
        <v>33625.0</v>
      </c>
      <c r="U272" s="52">
        <v>41325.0</v>
      </c>
      <c r="V272" s="52" t="s">
        <v>1378</v>
      </c>
      <c r="W272" s="69">
        <v>45806.0</v>
      </c>
      <c r="X272" s="70">
        <v>45866.0</v>
      </c>
      <c r="Z272" s="70">
        <v>45866.0</v>
      </c>
      <c r="AA272" s="52" t="s">
        <v>42</v>
      </c>
    </row>
    <row r="273">
      <c r="A273" s="52">
        <v>271.0</v>
      </c>
      <c r="B273" s="52" t="s">
        <v>1380</v>
      </c>
      <c r="C273" s="52" t="s">
        <v>144</v>
      </c>
      <c r="D273" s="52" t="s">
        <v>41</v>
      </c>
      <c r="E273" s="52" t="s">
        <v>41</v>
      </c>
      <c r="F273" s="52" t="s">
        <v>1470</v>
      </c>
      <c r="G273" s="52" t="s">
        <v>1471</v>
      </c>
      <c r="H273" s="52" t="s">
        <v>583</v>
      </c>
      <c r="I273" s="52" t="s">
        <v>1479</v>
      </c>
      <c r="J273" s="52">
        <v>16.0</v>
      </c>
      <c r="K273" s="52" t="s">
        <v>1473</v>
      </c>
      <c r="L273" s="52">
        <v>31.0</v>
      </c>
      <c r="M273" s="52">
        <v>19.0</v>
      </c>
      <c r="N273" s="52" t="s">
        <v>1381</v>
      </c>
      <c r="O273" s="52" t="s">
        <v>1947</v>
      </c>
      <c r="Q273" s="52" t="s">
        <v>1947</v>
      </c>
      <c r="S273" s="52">
        <v>5.57772E7</v>
      </c>
      <c r="T273" s="52">
        <v>33725.0</v>
      </c>
      <c r="U273" s="52">
        <v>41125.0</v>
      </c>
      <c r="V273" s="52" t="s">
        <v>91</v>
      </c>
      <c r="W273" s="69">
        <v>45797.0</v>
      </c>
      <c r="X273" s="70">
        <v>46022.0</v>
      </c>
      <c r="Z273" s="70">
        <v>46022.0</v>
      </c>
      <c r="AA273" s="52" t="s">
        <v>42</v>
      </c>
    </row>
    <row r="274">
      <c r="A274" s="52">
        <v>272.0</v>
      </c>
      <c r="B274" s="52" t="s">
        <v>1384</v>
      </c>
      <c r="C274" s="52" t="s">
        <v>1386</v>
      </c>
      <c r="D274" s="52" t="s">
        <v>113</v>
      </c>
      <c r="E274" s="52" t="s">
        <v>113</v>
      </c>
      <c r="F274" s="52" t="s">
        <v>1478</v>
      </c>
      <c r="G274" s="52" t="s">
        <v>1471</v>
      </c>
      <c r="H274" s="52" t="s">
        <v>583</v>
      </c>
      <c r="I274" s="52" t="s">
        <v>1493</v>
      </c>
      <c r="J274" s="52">
        <v>14.0</v>
      </c>
      <c r="K274" s="52" t="s">
        <v>1473</v>
      </c>
      <c r="L274" s="52">
        <v>28.0</v>
      </c>
      <c r="M274" s="52">
        <v>28.0</v>
      </c>
      <c r="N274" s="52" t="s">
        <v>1385</v>
      </c>
      <c r="O274" s="52" t="s">
        <v>1948</v>
      </c>
      <c r="Q274" s="52" t="s">
        <v>1948</v>
      </c>
      <c r="S274" s="52">
        <v>4.61489E7</v>
      </c>
      <c r="T274" s="52">
        <v>32025.0</v>
      </c>
      <c r="U274" s="52">
        <v>42825.0</v>
      </c>
      <c r="V274" s="52" t="s">
        <v>111</v>
      </c>
      <c r="W274" s="69">
        <v>45806.0</v>
      </c>
      <c r="X274" s="70">
        <v>46019.0</v>
      </c>
      <c r="Z274" s="70">
        <v>46019.0</v>
      </c>
      <c r="AA274" s="52" t="s">
        <v>42</v>
      </c>
    </row>
    <row r="275">
      <c r="A275" s="52">
        <v>273.0</v>
      </c>
      <c r="B275" s="52" t="s">
        <v>1388</v>
      </c>
      <c r="C275" s="52" t="s">
        <v>1390</v>
      </c>
      <c r="D275" s="52" t="s">
        <v>1931</v>
      </c>
      <c r="E275" s="52" t="s">
        <v>1931</v>
      </c>
      <c r="F275" s="52" t="s">
        <v>1949</v>
      </c>
      <c r="G275" s="52" t="s">
        <v>1471</v>
      </c>
      <c r="H275" s="52" t="s">
        <v>583</v>
      </c>
      <c r="I275" s="52" t="s">
        <v>1625</v>
      </c>
      <c r="J275" s="52">
        <v>15.0</v>
      </c>
      <c r="K275" s="52" t="s">
        <v>1473</v>
      </c>
      <c r="L275" s="52">
        <v>39.0</v>
      </c>
      <c r="M275" s="52">
        <v>39.0</v>
      </c>
      <c r="N275" s="52" t="s">
        <v>1389</v>
      </c>
      <c r="O275" s="52" t="s">
        <v>1950</v>
      </c>
      <c r="Q275" s="52" t="s">
        <v>1950</v>
      </c>
      <c r="S275" s="52">
        <v>5.18E7</v>
      </c>
      <c r="T275" s="52">
        <v>35125.0</v>
      </c>
      <c r="U275" s="52">
        <v>42025.0</v>
      </c>
      <c r="V275" s="52" t="s">
        <v>730</v>
      </c>
      <c r="W275" s="69">
        <v>45805.0</v>
      </c>
      <c r="X275" s="70">
        <v>46022.0</v>
      </c>
      <c r="Z275" s="70">
        <v>46022.0</v>
      </c>
      <c r="AA275" s="52" t="s">
        <v>42</v>
      </c>
    </row>
    <row r="276">
      <c r="A276" s="52">
        <v>274.0</v>
      </c>
      <c r="B276" s="52" t="s">
        <v>1393</v>
      </c>
      <c r="C276" s="52" t="s">
        <v>1395</v>
      </c>
      <c r="D276" s="52" t="s">
        <v>1540</v>
      </c>
      <c r="E276" s="52" t="s">
        <v>1540</v>
      </c>
      <c r="F276" s="52" t="s">
        <v>1478</v>
      </c>
      <c r="G276" s="52" t="s">
        <v>1471</v>
      </c>
      <c r="H276" s="52" t="s">
        <v>583</v>
      </c>
      <c r="I276" s="52" t="s">
        <v>1526</v>
      </c>
      <c r="J276" s="52">
        <v>19.0</v>
      </c>
      <c r="K276" s="52" t="s">
        <v>1473</v>
      </c>
      <c r="L276" s="52">
        <v>177.0</v>
      </c>
      <c r="M276" s="52">
        <v>177.0</v>
      </c>
      <c r="N276" s="52" t="s">
        <v>1394</v>
      </c>
      <c r="O276" s="52" t="s">
        <v>1951</v>
      </c>
      <c r="Q276" s="52" t="s">
        <v>1951</v>
      </c>
      <c r="S276" s="52">
        <v>6.8036822E7</v>
      </c>
      <c r="T276" s="52">
        <v>35625.0</v>
      </c>
      <c r="U276" s="52">
        <v>42125.0</v>
      </c>
      <c r="V276" s="52" t="s">
        <v>1396</v>
      </c>
      <c r="W276" s="69">
        <v>45805.0</v>
      </c>
      <c r="X276" s="70">
        <v>46022.0</v>
      </c>
      <c r="Z276" s="70">
        <v>46022.0</v>
      </c>
      <c r="AA276" s="52" t="s">
        <v>42</v>
      </c>
    </row>
    <row r="277">
      <c r="A277" s="52">
        <v>275.0</v>
      </c>
      <c r="B277" s="52" t="s">
        <v>1404</v>
      </c>
      <c r="C277" s="52" t="s">
        <v>1952</v>
      </c>
      <c r="D277" s="52" t="s">
        <v>1469</v>
      </c>
      <c r="E277" s="52" t="s">
        <v>93</v>
      </c>
      <c r="F277" s="52" t="s">
        <v>1470</v>
      </c>
      <c r="G277" s="52" t="s">
        <v>1471</v>
      </c>
      <c r="H277" s="52" t="s">
        <v>583</v>
      </c>
      <c r="I277" s="52" t="s">
        <v>1744</v>
      </c>
      <c r="J277" s="52">
        <v>2.0</v>
      </c>
      <c r="K277" s="52" t="s">
        <v>1483</v>
      </c>
      <c r="L277" s="52">
        <v>0.0</v>
      </c>
      <c r="M277" s="52">
        <v>0.0</v>
      </c>
      <c r="N277" s="52" t="s">
        <v>1405</v>
      </c>
      <c r="O277" s="52" t="s">
        <v>1953</v>
      </c>
      <c r="Q277" s="52" t="s">
        <v>1953</v>
      </c>
      <c r="S277" s="52">
        <v>2.3326695E7</v>
      </c>
      <c r="T277" s="52">
        <v>43725.0</v>
      </c>
      <c r="U277" s="52">
        <v>34525.0</v>
      </c>
      <c r="V277" s="52" t="s">
        <v>91</v>
      </c>
      <c r="W277" s="69">
        <v>45814.0</v>
      </c>
      <c r="X277" s="70">
        <v>46022.0</v>
      </c>
      <c r="Z277" s="70">
        <v>46022.0</v>
      </c>
      <c r="AA277" s="52" t="s">
        <v>42</v>
      </c>
    </row>
    <row r="278">
      <c r="A278" s="52">
        <v>276.0</v>
      </c>
      <c r="B278" s="52" t="s">
        <v>1408</v>
      </c>
      <c r="C278" s="52" t="s">
        <v>1954</v>
      </c>
      <c r="D278" s="52" t="s">
        <v>1469</v>
      </c>
      <c r="E278" s="52" t="s">
        <v>93</v>
      </c>
      <c r="F278" s="52" t="s">
        <v>1470</v>
      </c>
      <c r="G278" s="52" t="s">
        <v>1471</v>
      </c>
      <c r="H278" s="52" t="s">
        <v>583</v>
      </c>
      <c r="I278" s="52" t="s">
        <v>1955</v>
      </c>
      <c r="J278" s="52">
        <v>2.0</v>
      </c>
      <c r="K278" s="52" t="s">
        <v>1483</v>
      </c>
      <c r="L278" s="52">
        <v>0.0</v>
      </c>
      <c r="M278" s="52">
        <v>0.0</v>
      </c>
      <c r="N278" s="52" t="s">
        <v>1405</v>
      </c>
      <c r="O278" s="52" t="s">
        <v>1953</v>
      </c>
      <c r="Q278" s="52" t="s">
        <v>1953</v>
      </c>
      <c r="S278" s="52">
        <v>2.3326695E7</v>
      </c>
      <c r="T278" s="52">
        <v>43625.0</v>
      </c>
      <c r="U278" s="52">
        <v>34025.0</v>
      </c>
      <c r="V278" s="52" t="s">
        <v>91</v>
      </c>
      <c r="W278" s="69">
        <v>45814.0</v>
      </c>
      <c r="X278" s="70">
        <v>46022.0</v>
      </c>
      <c r="Z278" s="70">
        <v>46022.0</v>
      </c>
      <c r="AA278" s="52" t="s">
        <v>42</v>
      </c>
    </row>
    <row r="279">
      <c r="A279" s="52">
        <v>277.0</v>
      </c>
      <c r="B279" s="52" t="s">
        <v>1399</v>
      </c>
      <c r="C279" s="52" t="s">
        <v>1887</v>
      </c>
      <c r="D279" s="52" t="s">
        <v>1905</v>
      </c>
      <c r="E279" s="52" t="s">
        <v>1905</v>
      </c>
      <c r="F279" s="52" t="s">
        <v>1470</v>
      </c>
      <c r="G279" s="52" t="s">
        <v>1555</v>
      </c>
      <c r="H279" s="52" t="s">
        <v>1956</v>
      </c>
      <c r="I279" s="52" t="s">
        <v>1556</v>
      </c>
      <c r="J279" s="52" t="s">
        <v>1556</v>
      </c>
      <c r="K279" s="52" t="s">
        <v>1556</v>
      </c>
      <c r="L279" s="52" t="s">
        <v>1556</v>
      </c>
      <c r="M279" s="52" t="s">
        <v>1556</v>
      </c>
      <c r="N279" s="52" t="s">
        <v>1400</v>
      </c>
      <c r="O279" s="52" t="s">
        <v>1957</v>
      </c>
      <c r="Q279" s="52">
        <v>8.2742E7</v>
      </c>
      <c r="S279" s="52">
        <v>8.2742E7</v>
      </c>
      <c r="T279" s="52">
        <v>31225.0</v>
      </c>
      <c r="U279" s="52">
        <v>43325.0</v>
      </c>
      <c r="V279" s="52" t="s">
        <v>1402</v>
      </c>
      <c r="W279" s="69">
        <v>45817.0</v>
      </c>
      <c r="X279" s="70">
        <v>46022.0</v>
      </c>
      <c r="Z279" s="70">
        <v>46022.0</v>
      </c>
      <c r="AA279" s="52" t="s">
        <v>42</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C1" s="52" t="s">
        <v>1958</v>
      </c>
    </row>
    <row r="2">
      <c r="A2" s="52" t="s">
        <v>1959</v>
      </c>
    </row>
    <row r="3">
      <c r="A3" s="52" t="s">
        <v>1447</v>
      </c>
      <c r="B3" s="52" t="s">
        <v>581</v>
      </c>
      <c r="C3" s="52" t="s">
        <v>1960</v>
      </c>
      <c r="D3" s="52" t="s">
        <v>1961</v>
      </c>
      <c r="E3" s="52" t="s">
        <v>1962</v>
      </c>
      <c r="F3" s="52" t="s">
        <v>1963</v>
      </c>
      <c r="G3" s="52" t="s">
        <v>1448</v>
      </c>
      <c r="H3" s="52" t="s">
        <v>1449</v>
      </c>
      <c r="I3" s="52" t="s">
        <v>1964</v>
      </c>
      <c r="J3" s="52" t="s">
        <v>1451</v>
      </c>
      <c r="K3" s="52" t="s">
        <v>1965</v>
      </c>
      <c r="L3" s="52" t="s">
        <v>1966</v>
      </c>
      <c r="M3" s="52" t="s">
        <v>1967</v>
      </c>
      <c r="N3" s="52" t="s">
        <v>1968</v>
      </c>
      <c r="O3" s="52" t="s">
        <v>1969</v>
      </c>
      <c r="P3" s="52" t="s">
        <v>1970</v>
      </c>
      <c r="Q3" s="52" t="s">
        <v>1472</v>
      </c>
      <c r="R3" s="52" t="s">
        <v>1971</v>
      </c>
      <c r="S3" s="52" t="s">
        <v>1972</v>
      </c>
      <c r="T3" s="52" t="s">
        <v>1973</v>
      </c>
      <c r="U3" s="52" t="s">
        <v>1974</v>
      </c>
      <c r="V3" s="52" t="s">
        <v>2</v>
      </c>
      <c r="W3" s="52" t="s">
        <v>1452</v>
      </c>
      <c r="X3" s="52" t="s">
        <v>1453</v>
      </c>
      <c r="Y3" s="52" t="s">
        <v>7</v>
      </c>
      <c r="Z3" s="52" t="s">
        <v>1975</v>
      </c>
      <c r="AA3" s="52" t="s">
        <v>1976</v>
      </c>
      <c r="AB3" s="52" t="s">
        <v>1977</v>
      </c>
      <c r="AC3" s="52" t="s">
        <v>1978</v>
      </c>
      <c r="AD3" s="52" t="s">
        <v>1979</v>
      </c>
      <c r="AE3" s="52" t="s">
        <v>1980</v>
      </c>
      <c r="AF3" s="52" t="s">
        <v>1981</v>
      </c>
      <c r="AG3" s="52" t="s">
        <v>1982</v>
      </c>
      <c r="AH3" s="52" t="s">
        <v>1454</v>
      </c>
      <c r="AI3" s="52" t="s">
        <v>1983</v>
      </c>
      <c r="AJ3" s="52" t="s">
        <v>1984</v>
      </c>
      <c r="AK3" s="52" t="s">
        <v>1985</v>
      </c>
      <c r="AL3" s="52" t="s">
        <v>10</v>
      </c>
      <c r="AM3" s="52" t="s">
        <v>1459</v>
      </c>
      <c r="AN3" s="52" t="s">
        <v>1460</v>
      </c>
      <c r="AO3" s="52" t="s">
        <v>1986</v>
      </c>
      <c r="AP3" s="52" t="s">
        <v>17</v>
      </c>
      <c r="AQ3" s="52" t="s">
        <v>1463</v>
      </c>
      <c r="AR3" s="52" t="s">
        <v>1987</v>
      </c>
      <c r="AS3" s="52" t="s">
        <v>1988</v>
      </c>
      <c r="AT3" s="52" t="s">
        <v>1989</v>
      </c>
      <c r="AU3" s="52" t="s">
        <v>1465</v>
      </c>
      <c r="AV3" s="52" t="s">
        <v>1990</v>
      </c>
      <c r="AW3" s="52" t="s">
        <v>1986</v>
      </c>
      <c r="AX3" s="52" t="s">
        <v>1991</v>
      </c>
      <c r="AY3" s="52" t="s">
        <v>1992</v>
      </c>
      <c r="AZ3" s="52" t="s">
        <v>1993</v>
      </c>
      <c r="BA3" s="52" t="s">
        <v>1994</v>
      </c>
      <c r="BB3" s="52" t="s">
        <v>1995</v>
      </c>
      <c r="BC3" s="52" t="s">
        <v>27</v>
      </c>
      <c r="BD3" s="52" t="s">
        <v>1996</v>
      </c>
      <c r="BE3" s="52" t="s">
        <v>1997</v>
      </c>
      <c r="BF3" s="52" t="s">
        <v>1998</v>
      </c>
      <c r="BG3" s="52" t="s">
        <v>29</v>
      </c>
      <c r="BH3" s="52" t="s">
        <v>1999</v>
      </c>
      <c r="BI3" s="52" t="s">
        <v>2000</v>
      </c>
      <c r="BJ3" s="52" t="s">
        <v>2001</v>
      </c>
      <c r="BK3" s="52" t="s">
        <v>2002</v>
      </c>
      <c r="BL3" s="52" t="s">
        <v>2003</v>
      </c>
      <c r="BM3" s="52" t="s">
        <v>2004</v>
      </c>
    </row>
    <row r="4">
      <c r="A4" s="52">
        <v>1.0</v>
      </c>
      <c r="B4" s="52" t="s">
        <v>34</v>
      </c>
      <c r="C4" s="52" t="s">
        <v>2005</v>
      </c>
      <c r="D4" s="52">
        <v>5.2369571E7</v>
      </c>
      <c r="E4" s="52" t="s">
        <v>1908</v>
      </c>
      <c r="F4" s="69">
        <v>45664.0</v>
      </c>
      <c r="G4" s="52" t="s">
        <v>2006</v>
      </c>
      <c r="H4" s="52" t="s">
        <v>2007</v>
      </c>
      <c r="I4" s="52" t="s">
        <v>2008</v>
      </c>
      <c r="J4" s="52" t="s">
        <v>1470</v>
      </c>
      <c r="K4" s="52" t="s">
        <v>2009</v>
      </c>
      <c r="L4" s="52" t="s">
        <v>2010</v>
      </c>
      <c r="N4" s="52" t="s">
        <v>2010</v>
      </c>
      <c r="O4" s="69">
        <v>45294.0</v>
      </c>
      <c r="P4" s="52">
        <v>2.0251600000923E13</v>
      </c>
      <c r="Q4" s="52" t="s">
        <v>2011</v>
      </c>
      <c r="R4" s="69">
        <v>45294.0</v>
      </c>
      <c r="S4" s="52" t="s">
        <v>2012</v>
      </c>
      <c r="T4" s="52" t="s">
        <v>2013</v>
      </c>
      <c r="U4" s="52" t="s">
        <v>2014</v>
      </c>
      <c r="V4" s="52" t="s">
        <v>581</v>
      </c>
      <c r="W4" s="52" t="s">
        <v>1471</v>
      </c>
      <c r="X4" s="52" t="s">
        <v>583</v>
      </c>
      <c r="Y4" s="52" t="s">
        <v>35</v>
      </c>
      <c r="Z4" s="52" t="s">
        <v>2015</v>
      </c>
      <c r="AA4" s="52" t="s">
        <v>2016</v>
      </c>
      <c r="AB4" s="52" t="s">
        <v>2017</v>
      </c>
      <c r="AC4" s="52" t="s">
        <v>2018</v>
      </c>
      <c r="AD4" s="52" t="s">
        <v>587</v>
      </c>
      <c r="AE4" s="52" t="s">
        <v>2019</v>
      </c>
      <c r="AF4" s="69">
        <v>28250.0</v>
      </c>
      <c r="AG4" s="52">
        <v>48.0</v>
      </c>
      <c r="AH4" s="52" t="s">
        <v>1479</v>
      </c>
      <c r="AI4" s="52" t="s">
        <v>2020</v>
      </c>
      <c r="AJ4" s="52" t="s">
        <v>2021</v>
      </c>
      <c r="AK4" s="52" t="s">
        <v>2022</v>
      </c>
      <c r="AL4" s="52" t="s">
        <v>1474</v>
      </c>
      <c r="AM4" s="52" t="s">
        <v>587</v>
      </c>
      <c r="AN4" s="52" t="s">
        <v>1474</v>
      </c>
      <c r="AO4" s="52" t="s">
        <v>1483</v>
      </c>
      <c r="AP4" s="52">
        <v>1725.0</v>
      </c>
      <c r="AQ4" s="52">
        <v>0.0</v>
      </c>
      <c r="AR4" s="52" t="s">
        <v>38</v>
      </c>
      <c r="AS4" s="69">
        <v>45665.0</v>
      </c>
      <c r="AT4" s="70">
        <v>45998.0</v>
      </c>
      <c r="AU4" s="69">
        <v>45665.0</v>
      </c>
      <c r="AV4" s="70">
        <v>45998.0</v>
      </c>
      <c r="AW4" s="52" t="s">
        <v>1483</v>
      </c>
      <c r="AX4" s="52" t="s">
        <v>587</v>
      </c>
      <c r="AY4" s="52">
        <v>333.0</v>
      </c>
      <c r="AZ4" s="73" t="s">
        <v>2023</v>
      </c>
      <c r="BA4" s="73" t="s">
        <v>2024</v>
      </c>
      <c r="BB4" s="69">
        <v>45665.0</v>
      </c>
      <c r="BC4" s="52" t="s">
        <v>40</v>
      </c>
      <c r="BD4" s="52">
        <v>5.2270362E7</v>
      </c>
      <c r="BE4" s="52" t="s">
        <v>2025</v>
      </c>
      <c r="BF4" s="52" t="s">
        <v>2026</v>
      </c>
      <c r="BG4" s="52" t="s">
        <v>1475</v>
      </c>
      <c r="BH4" s="52" t="s">
        <v>31</v>
      </c>
      <c r="BI4" s="52" t="s">
        <v>2027</v>
      </c>
      <c r="BK4" s="52" t="s">
        <v>2010</v>
      </c>
    </row>
    <row r="5">
      <c r="A5" s="52">
        <v>2.0</v>
      </c>
      <c r="B5" s="52" t="s">
        <v>44</v>
      </c>
      <c r="C5" s="52" t="s">
        <v>2005</v>
      </c>
      <c r="D5" s="52">
        <v>3.7279138E7</v>
      </c>
      <c r="E5" s="52" t="s">
        <v>1908</v>
      </c>
      <c r="F5" s="69">
        <v>45664.0</v>
      </c>
      <c r="G5" s="52" t="s">
        <v>1476</v>
      </c>
      <c r="H5" s="52" t="s">
        <v>2028</v>
      </c>
      <c r="I5" s="52" t="s">
        <v>2028</v>
      </c>
      <c r="J5" s="52" t="s">
        <v>1478</v>
      </c>
      <c r="K5" s="52" t="s">
        <v>2029</v>
      </c>
      <c r="L5" s="52" t="s">
        <v>2010</v>
      </c>
      <c r="N5" s="52" t="s">
        <v>2010</v>
      </c>
      <c r="O5" s="69">
        <v>45664.0</v>
      </c>
      <c r="P5" s="52">
        <v>2.0251140001113E13</v>
      </c>
      <c r="Q5" s="52" t="s">
        <v>2011</v>
      </c>
      <c r="R5" s="69">
        <v>45664.0</v>
      </c>
      <c r="S5" s="52" t="s">
        <v>2030</v>
      </c>
      <c r="T5" s="52" t="s">
        <v>2013</v>
      </c>
      <c r="U5" s="52" t="s">
        <v>2031</v>
      </c>
      <c r="V5" s="52" t="s">
        <v>581</v>
      </c>
      <c r="W5" s="52" t="s">
        <v>1471</v>
      </c>
      <c r="X5" s="52" t="s">
        <v>583</v>
      </c>
      <c r="Y5" s="52" t="s">
        <v>45</v>
      </c>
      <c r="Z5" s="52" t="s">
        <v>2015</v>
      </c>
      <c r="AA5" s="52" t="s">
        <v>2016</v>
      </c>
      <c r="AB5" s="52" t="s">
        <v>2032</v>
      </c>
      <c r="AC5" s="52" t="s">
        <v>2033</v>
      </c>
      <c r="AD5" s="52" t="s">
        <v>587</v>
      </c>
      <c r="AE5" s="52" t="s">
        <v>2034</v>
      </c>
      <c r="AF5" s="69">
        <v>29471.0</v>
      </c>
      <c r="AG5" s="52">
        <v>45.0</v>
      </c>
      <c r="AH5" s="52" t="s">
        <v>1479</v>
      </c>
      <c r="AI5" s="52" t="s">
        <v>2035</v>
      </c>
      <c r="AJ5" s="52" t="s">
        <v>2036</v>
      </c>
      <c r="AK5" s="52" t="s">
        <v>2022</v>
      </c>
      <c r="AL5" s="52" t="s">
        <v>1480</v>
      </c>
      <c r="AM5" s="52" t="s">
        <v>587</v>
      </c>
      <c r="AN5" s="52" t="s">
        <v>1480</v>
      </c>
      <c r="AO5" s="52" t="s">
        <v>1483</v>
      </c>
      <c r="AP5" s="52">
        <v>1925.0</v>
      </c>
      <c r="AQ5" s="52">
        <v>925.0</v>
      </c>
      <c r="AR5" s="52" t="s">
        <v>47</v>
      </c>
      <c r="AS5" s="69">
        <v>45665.0</v>
      </c>
      <c r="AT5" s="70">
        <v>46013.0</v>
      </c>
      <c r="AU5" s="69">
        <v>45665.0</v>
      </c>
      <c r="AV5" s="70">
        <v>46013.0</v>
      </c>
      <c r="AW5" s="52" t="s">
        <v>1483</v>
      </c>
      <c r="AX5" s="52" t="s">
        <v>587</v>
      </c>
      <c r="AY5" s="52">
        <v>348.0</v>
      </c>
      <c r="AZ5" s="73" t="s">
        <v>2037</v>
      </c>
      <c r="BA5" s="73" t="s">
        <v>2038</v>
      </c>
      <c r="BB5" s="69">
        <v>45665.0</v>
      </c>
      <c r="BC5" s="52" t="s">
        <v>2039</v>
      </c>
      <c r="BD5" s="52">
        <v>5.2966718E7</v>
      </c>
      <c r="BE5" s="52" t="s">
        <v>2040</v>
      </c>
      <c r="BF5" s="52" t="s">
        <v>41</v>
      </c>
      <c r="BG5" s="52" t="s">
        <v>2041</v>
      </c>
      <c r="BH5" s="52" t="s">
        <v>43</v>
      </c>
      <c r="BI5" s="52" t="s">
        <v>2027</v>
      </c>
      <c r="BK5" s="52" t="s">
        <v>2010</v>
      </c>
    </row>
    <row r="6">
      <c r="A6" s="52">
        <v>3.0</v>
      </c>
      <c r="B6" s="52" t="s">
        <v>50</v>
      </c>
      <c r="C6" s="52" t="s">
        <v>2005</v>
      </c>
      <c r="D6" s="52">
        <v>1.053821048E9</v>
      </c>
      <c r="E6" s="52" t="s">
        <v>1908</v>
      </c>
      <c r="F6" s="69">
        <v>45664.0</v>
      </c>
      <c r="G6" s="52" t="s">
        <v>1481</v>
      </c>
      <c r="H6" s="52" t="s">
        <v>2007</v>
      </c>
      <c r="I6" s="52" t="s">
        <v>2042</v>
      </c>
      <c r="J6" s="52" t="s">
        <v>1478</v>
      </c>
      <c r="K6" s="52" t="s">
        <v>2029</v>
      </c>
      <c r="L6" s="52" t="s">
        <v>2010</v>
      </c>
      <c r="N6" s="52" t="s">
        <v>2010</v>
      </c>
      <c r="O6" s="69">
        <v>45294.0</v>
      </c>
      <c r="P6" s="52">
        <v>2.0251520000943E13</v>
      </c>
      <c r="Q6" s="52" t="s">
        <v>2011</v>
      </c>
      <c r="R6" s="69">
        <v>45294.0</v>
      </c>
      <c r="S6" s="52" t="s">
        <v>2043</v>
      </c>
      <c r="T6" s="52" t="s">
        <v>2013</v>
      </c>
      <c r="U6" s="52" t="s">
        <v>2044</v>
      </c>
      <c r="V6" s="52" t="s">
        <v>581</v>
      </c>
      <c r="W6" s="52" t="s">
        <v>1471</v>
      </c>
      <c r="X6" s="52" t="s">
        <v>583</v>
      </c>
      <c r="Y6" s="52" t="s">
        <v>51</v>
      </c>
      <c r="Z6" s="52" t="s">
        <v>2015</v>
      </c>
      <c r="AA6" s="52" t="s">
        <v>2016</v>
      </c>
      <c r="AB6" s="52" t="s">
        <v>2017</v>
      </c>
      <c r="AC6" s="52" t="s">
        <v>2033</v>
      </c>
      <c r="AD6" s="52" t="s">
        <v>587</v>
      </c>
      <c r="AE6" s="52" t="s">
        <v>2045</v>
      </c>
      <c r="AF6" s="69">
        <v>33770.0</v>
      </c>
      <c r="AG6" s="52">
        <v>33.0</v>
      </c>
      <c r="AH6" s="52" t="s">
        <v>1479</v>
      </c>
      <c r="AI6" s="52" t="s">
        <v>2046</v>
      </c>
      <c r="AJ6" s="52" t="s">
        <v>2047</v>
      </c>
      <c r="AK6" s="52" t="s">
        <v>2022</v>
      </c>
      <c r="AL6" s="52" t="s">
        <v>1484</v>
      </c>
      <c r="AM6" s="52" t="s">
        <v>587</v>
      </c>
      <c r="AN6" s="52" t="s">
        <v>1484</v>
      </c>
      <c r="AO6" s="52" t="s">
        <v>1483</v>
      </c>
      <c r="AP6" s="52">
        <v>2225.0</v>
      </c>
      <c r="AQ6" s="52">
        <v>1125.0</v>
      </c>
      <c r="AR6" s="52" t="s">
        <v>53</v>
      </c>
      <c r="AS6" s="69">
        <v>45665.0</v>
      </c>
      <c r="AT6" s="70">
        <v>46014.0</v>
      </c>
      <c r="AU6" s="69">
        <v>45666.0</v>
      </c>
      <c r="AV6" s="70">
        <v>46014.0</v>
      </c>
      <c r="AW6" s="52" t="s">
        <v>1483</v>
      </c>
      <c r="AX6" s="52" t="s">
        <v>587</v>
      </c>
      <c r="AY6" s="52">
        <v>348.0</v>
      </c>
      <c r="AZ6" s="73" t="s">
        <v>2048</v>
      </c>
      <c r="BA6" s="73" t="s">
        <v>2038</v>
      </c>
      <c r="BB6" s="69">
        <v>45666.0</v>
      </c>
      <c r="BC6" s="52" t="s">
        <v>2049</v>
      </c>
      <c r="BD6" s="52">
        <v>7.9623578E7</v>
      </c>
      <c r="BE6" s="52" t="s">
        <v>2050</v>
      </c>
      <c r="BF6" s="52" t="s">
        <v>2026</v>
      </c>
      <c r="BG6" s="52" t="s">
        <v>2041</v>
      </c>
      <c r="BH6" s="52" t="s">
        <v>49</v>
      </c>
      <c r="BI6" s="52" t="s">
        <v>2027</v>
      </c>
      <c r="BK6" s="52" t="s">
        <v>2010</v>
      </c>
    </row>
    <row r="7">
      <c r="A7" s="52">
        <v>4.0</v>
      </c>
      <c r="B7" s="52" t="s">
        <v>55</v>
      </c>
      <c r="C7" s="52" t="s">
        <v>2005</v>
      </c>
      <c r="D7" s="52">
        <v>1.082863101E9</v>
      </c>
      <c r="E7" s="52" t="s">
        <v>1908</v>
      </c>
      <c r="F7" s="69">
        <v>45664.0</v>
      </c>
      <c r="G7" s="52" t="s">
        <v>57</v>
      </c>
      <c r="H7" s="52" t="s">
        <v>2007</v>
      </c>
      <c r="I7" s="52" t="s">
        <v>2028</v>
      </c>
      <c r="J7" s="52" t="s">
        <v>1478</v>
      </c>
      <c r="K7" s="52" t="s">
        <v>2051</v>
      </c>
      <c r="L7" s="52" t="s">
        <v>2010</v>
      </c>
      <c r="N7" s="52" t="s">
        <v>2010</v>
      </c>
      <c r="O7" s="69">
        <v>45664.0</v>
      </c>
      <c r="P7" s="52">
        <v>2.0251140001253E13</v>
      </c>
      <c r="Q7" s="52" t="s">
        <v>2009</v>
      </c>
      <c r="R7" s="69">
        <v>45664.0</v>
      </c>
      <c r="S7" s="52" t="s">
        <v>2052</v>
      </c>
      <c r="T7" s="52" t="s">
        <v>2013</v>
      </c>
      <c r="U7" s="52" t="s">
        <v>2053</v>
      </c>
      <c r="V7" s="52" t="s">
        <v>581</v>
      </c>
      <c r="W7" s="52" t="s">
        <v>1471</v>
      </c>
      <c r="X7" s="52" t="s">
        <v>583</v>
      </c>
      <c r="Y7" s="52" t="s">
        <v>56</v>
      </c>
      <c r="Z7" s="52" t="s">
        <v>2015</v>
      </c>
      <c r="AA7" s="52" t="s">
        <v>2016</v>
      </c>
      <c r="AB7" s="52" t="s">
        <v>2032</v>
      </c>
      <c r="AC7" s="52" t="s">
        <v>2054</v>
      </c>
      <c r="AD7" s="52" t="s">
        <v>587</v>
      </c>
      <c r="AE7" s="52" t="s">
        <v>2055</v>
      </c>
      <c r="AF7" s="69">
        <v>31975.0</v>
      </c>
      <c r="AG7" s="52">
        <v>38.0</v>
      </c>
      <c r="AH7" s="52" t="s">
        <v>1479</v>
      </c>
      <c r="AI7" s="52" t="s">
        <v>2056</v>
      </c>
      <c r="AJ7" s="52" t="s">
        <v>2057</v>
      </c>
      <c r="AK7" s="52" t="s">
        <v>2022</v>
      </c>
      <c r="AL7" s="52" t="s">
        <v>1486</v>
      </c>
      <c r="AM7" s="52" t="s">
        <v>587</v>
      </c>
      <c r="AN7" s="52" t="s">
        <v>1486</v>
      </c>
      <c r="AO7" s="52" t="s">
        <v>1483</v>
      </c>
      <c r="AP7" s="52">
        <v>2125.0</v>
      </c>
      <c r="AQ7" s="52">
        <v>1025.0</v>
      </c>
      <c r="AR7" s="52" t="s">
        <v>47</v>
      </c>
      <c r="AS7" s="69">
        <v>45665.0</v>
      </c>
      <c r="AT7" s="69">
        <v>45876.0</v>
      </c>
      <c r="AU7" s="69">
        <v>45665.0</v>
      </c>
      <c r="AV7" s="69">
        <v>45876.0</v>
      </c>
      <c r="AW7" s="52" t="s">
        <v>1483</v>
      </c>
      <c r="AX7" s="52" t="s">
        <v>587</v>
      </c>
      <c r="AY7" s="52">
        <v>211.0</v>
      </c>
      <c r="AZ7" s="73" t="s">
        <v>2058</v>
      </c>
      <c r="BA7" s="73" t="s">
        <v>2038</v>
      </c>
      <c r="BB7" s="69">
        <v>45665.0</v>
      </c>
      <c r="BC7" s="52" t="s">
        <v>2049</v>
      </c>
      <c r="BD7" s="52">
        <v>7.9623578E7</v>
      </c>
      <c r="BE7" s="52" t="s">
        <v>2050</v>
      </c>
      <c r="BF7" s="52" t="s">
        <v>2026</v>
      </c>
      <c r="BG7" s="52" t="s">
        <v>2041</v>
      </c>
      <c r="BH7" s="52" t="s">
        <v>54</v>
      </c>
      <c r="BI7" s="52" t="s">
        <v>2027</v>
      </c>
      <c r="BK7" s="52" t="s">
        <v>2010</v>
      </c>
    </row>
    <row r="8">
      <c r="A8" s="52">
        <v>5.0</v>
      </c>
      <c r="B8" s="52" t="s">
        <v>59</v>
      </c>
      <c r="C8" s="52" t="s">
        <v>2005</v>
      </c>
      <c r="D8" s="52">
        <v>1.057582613E9</v>
      </c>
      <c r="E8" s="52" t="s">
        <v>1908</v>
      </c>
      <c r="F8" s="69">
        <v>45665.0</v>
      </c>
      <c r="G8" s="52" t="s">
        <v>61</v>
      </c>
      <c r="H8" s="52" t="s">
        <v>2007</v>
      </c>
      <c r="I8" s="52" t="s">
        <v>134</v>
      </c>
      <c r="J8" s="52" t="s">
        <v>1478</v>
      </c>
      <c r="K8" s="52" t="s">
        <v>2059</v>
      </c>
      <c r="L8" s="52" t="s">
        <v>2010</v>
      </c>
      <c r="N8" s="52" t="s">
        <v>2010</v>
      </c>
      <c r="O8" s="69">
        <v>45665.0</v>
      </c>
      <c r="P8" s="52">
        <v>2.0251300001353E13</v>
      </c>
      <c r="Q8" s="52" t="s">
        <v>2009</v>
      </c>
      <c r="R8" s="69">
        <v>45665.0</v>
      </c>
      <c r="S8" s="52" t="s">
        <v>2060</v>
      </c>
      <c r="T8" s="52" t="s">
        <v>2013</v>
      </c>
      <c r="U8" s="52" t="s">
        <v>2061</v>
      </c>
      <c r="V8" s="52" t="s">
        <v>581</v>
      </c>
      <c r="W8" s="52" t="s">
        <v>1471</v>
      </c>
      <c r="X8" s="52" t="s">
        <v>583</v>
      </c>
      <c r="Y8" s="52" t="s">
        <v>60</v>
      </c>
      <c r="Z8" s="52" t="s">
        <v>2015</v>
      </c>
      <c r="AA8" s="52" t="s">
        <v>2016</v>
      </c>
      <c r="AB8" s="52" t="s">
        <v>2062</v>
      </c>
      <c r="AC8" s="52" t="s">
        <v>2063</v>
      </c>
      <c r="AD8" s="52" t="s">
        <v>587</v>
      </c>
      <c r="AE8" s="52" t="s">
        <v>2064</v>
      </c>
      <c r="AF8" s="70">
        <v>32859.0</v>
      </c>
      <c r="AG8" s="52">
        <v>36.0</v>
      </c>
      <c r="AH8" s="52" t="s">
        <v>1479</v>
      </c>
      <c r="AI8" s="52" t="s">
        <v>2065</v>
      </c>
      <c r="AJ8" s="52" t="s">
        <v>2066</v>
      </c>
      <c r="AK8" s="52" t="s">
        <v>2022</v>
      </c>
      <c r="AL8" s="52" t="s">
        <v>1488</v>
      </c>
      <c r="AM8" s="52" t="s">
        <v>587</v>
      </c>
      <c r="AN8" s="52" t="s">
        <v>1488</v>
      </c>
      <c r="AO8" s="52" t="s">
        <v>1483</v>
      </c>
      <c r="AP8" s="52">
        <v>1125.0</v>
      </c>
      <c r="AQ8" s="52">
        <v>1325.0</v>
      </c>
      <c r="AR8" s="52" t="s">
        <v>62</v>
      </c>
      <c r="AS8" s="69">
        <v>45666.0</v>
      </c>
      <c r="AT8" s="70">
        <v>45999.0</v>
      </c>
      <c r="AU8" s="69">
        <v>45666.0</v>
      </c>
      <c r="AV8" s="70">
        <v>45999.0</v>
      </c>
      <c r="AW8" s="52" t="s">
        <v>1483</v>
      </c>
      <c r="AX8" s="52" t="s">
        <v>587</v>
      </c>
      <c r="AY8" s="52">
        <v>333.0</v>
      </c>
      <c r="AZ8" s="73" t="s">
        <v>2067</v>
      </c>
      <c r="BA8" s="73" t="s">
        <v>2038</v>
      </c>
      <c r="BB8" s="69">
        <v>45666.0</v>
      </c>
      <c r="BC8" s="52" t="s">
        <v>40</v>
      </c>
      <c r="BD8" s="52">
        <v>5.2270362E7</v>
      </c>
      <c r="BE8" s="52" t="s">
        <v>2025</v>
      </c>
      <c r="BF8" s="52" t="s">
        <v>2026</v>
      </c>
      <c r="BG8" s="52" t="s">
        <v>2041</v>
      </c>
      <c r="BH8" s="52" t="s">
        <v>58</v>
      </c>
      <c r="BI8" s="52" t="s">
        <v>2027</v>
      </c>
      <c r="BK8" s="52" t="s">
        <v>2010</v>
      </c>
    </row>
    <row r="9">
      <c r="A9" s="52">
        <v>6.0</v>
      </c>
      <c r="B9" s="52" t="s">
        <v>64</v>
      </c>
      <c r="C9" s="52" t="s">
        <v>2005</v>
      </c>
      <c r="D9" s="52">
        <v>1.019094411E9</v>
      </c>
      <c r="E9" s="52" t="s">
        <v>1908</v>
      </c>
      <c r="F9" s="69">
        <v>45665.0</v>
      </c>
      <c r="G9" s="52" t="s">
        <v>66</v>
      </c>
      <c r="H9" s="52" t="s">
        <v>2007</v>
      </c>
      <c r="I9" s="52" t="s">
        <v>2068</v>
      </c>
      <c r="J9" s="52" t="s">
        <v>1478</v>
      </c>
      <c r="K9" s="52" t="s">
        <v>2069</v>
      </c>
      <c r="L9" s="52" t="s">
        <v>2010</v>
      </c>
      <c r="N9" s="52" t="s">
        <v>2010</v>
      </c>
      <c r="O9" s="69">
        <v>45665.0</v>
      </c>
      <c r="P9" s="52">
        <v>2.0251900001363E13</v>
      </c>
      <c r="Q9" s="52" t="s">
        <v>2009</v>
      </c>
      <c r="R9" s="69">
        <v>45665.0</v>
      </c>
      <c r="S9" s="52" t="s">
        <v>2070</v>
      </c>
      <c r="T9" s="52" t="s">
        <v>2013</v>
      </c>
      <c r="U9" s="52" t="s">
        <v>2071</v>
      </c>
      <c r="V9" s="52" t="s">
        <v>581</v>
      </c>
      <c r="W9" s="52" t="s">
        <v>1471</v>
      </c>
      <c r="X9" s="52" t="s">
        <v>583</v>
      </c>
      <c r="Y9" s="52" t="s">
        <v>65</v>
      </c>
      <c r="Z9" s="52" t="s">
        <v>2015</v>
      </c>
      <c r="AA9" s="52" t="s">
        <v>2016</v>
      </c>
      <c r="AB9" s="52" t="s">
        <v>2032</v>
      </c>
      <c r="AC9" s="52" t="s">
        <v>2018</v>
      </c>
      <c r="AD9" s="52" t="s">
        <v>587</v>
      </c>
      <c r="AE9" s="52" t="s">
        <v>2072</v>
      </c>
      <c r="AF9" s="69">
        <v>34443.0</v>
      </c>
      <c r="AG9" s="52">
        <v>31.0</v>
      </c>
      <c r="AH9" s="52" t="s">
        <v>1479</v>
      </c>
      <c r="AI9" s="52" t="s">
        <v>2073</v>
      </c>
      <c r="AJ9" s="52" t="s">
        <v>2074</v>
      </c>
      <c r="AK9" s="52" t="s">
        <v>2022</v>
      </c>
      <c r="AL9" s="52" t="s">
        <v>1490</v>
      </c>
      <c r="AM9" s="52" t="s">
        <v>587</v>
      </c>
      <c r="AN9" s="52" t="s">
        <v>1490</v>
      </c>
      <c r="AO9" s="52" t="s">
        <v>1483</v>
      </c>
      <c r="AP9" s="52">
        <v>2025.0</v>
      </c>
      <c r="AQ9" s="52">
        <v>1425.0</v>
      </c>
      <c r="AR9" s="52" t="s">
        <v>67</v>
      </c>
      <c r="AS9" s="69">
        <v>45666.0</v>
      </c>
      <c r="AT9" s="69">
        <v>45755.0</v>
      </c>
      <c r="AU9" s="69">
        <v>45666.0</v>
      </c>
      <c r="AV9" s="69">
        <v>45755.0</v>
      </c>
      <c r="AW9" s="52" t="s">
        <v>1483</v>
      </c>
      <c r="AX9" s="52" t="s">
        <v>587</v>
      </c>
      <c r="AY9" s="52">
        <v>89.0</v>
      </c>
      <c r="AZ9" s="73" t="s">
        <v>2075</v>
      </c>
      <c r="BA9" s="73" t="s">
        <v>2076</v>
      </c>
      <c r="BB9" s="69">
        <v>45666.0</v>
      </c>
      <c r="BC9" s="52" t="s">
        <v>68</v>
      </c>
      <c r="BD9" s="52">
        <v>5.2979738E7</v>
      </c>
      <c r="BE9" s="52" t="s">
        <v>2077</v>
      </c>
      <c r="BF9" s="52" t="s">
        <v>2026</v>
      </c>
      <c r="BG9" s="52" t="s">
        <v>2041</v>
      </c>
      <c r="BH9" s="52" t="s">
        <v>63</v>
      </c>
      <c r="BI9" s="52" t="s">
        <v>2027</v>
      </c>
      <c r="BK9" s="52" t="s">
        <v>2010</v>
      </c>
    </row>
    <row r="10">
      <c r="A10" s="52">
        <v>7.0</v>
      </c>
      <c r="B10" s="52" t="s">
        <v>70</v>
      </c>
      <c r="C10" s="52" t="s">
        <v>2005</v>
      </c>
      <c r="D10" s="52">
        <v>1.075248422E9</v>
      </c>
      <c r="E10" s="52" t="s">
        <v>1908</v>
      </c>
      <c r="F10" s="69">
        <v>45665.0</v>
      </c>
      <c r="G10" s="52" t="s">
        <v>2078</v>
      </c>
      <c r="H10" s="52" t="s">
        <v>2007</v>
      </c>
      <c r="I10" s="52" t="s">
        <v>2042</v>
      </c>
      <c r="J10" s="52" t="s">
        <v>1478</v>
      </c>
      <c r="K10" s="52" t="s">
        <v>2051</v>
      </c>
      <c r="L10" s="52" t="s">
        <v>2010</v>
      </c>
      <c r="N10" s="52" t="s">
        <v>2010</v>
      </c>
      <c r="O10" s="69">
        <v>45665.0</v>
      </c>
      <c r="P10" s="52">
        <v>2.0251520001503E13</v>
      </c>
      <c r="Q10" s="52" t="s">
        <v>2009</v>
      </c>
      <c r="R10" s="69">
        <v>45665.0</v>
      </c>
      <c r="S10" s="52" t="s">
        <v>2079</v>
      </c>
      <c r="T10" s="52" t="s">
        <v>2013</v>
      </c>
      <c r="U10" s="52" t="s">
        <v>2080</v>
      </c>
      <c r="V10" s="52" t="s">
        <v>581</v>
      </c>
      <c r="W10" s="52" t="s">
        <v>1471</v>
      </c>
      <c r="X10" s="52" t="s">
        <v>583</v>
      </c>
      <c r="Y10" s="52" t="s">
        <v>65</v>
      </c>
      <c r="Z10" s="52" t="s">
        <v>2081</v>
      </c>
      <c r="AA10" s="52" t="s">
        <v>2016</v>
      </c>
      <c r="AB10" s="52" t="s">
        <v>2062</v>
      </c>
      <c r="AC10" s="52" t="s">
        <v>2082</v>
      </c>
      <c r="AD10" s="52" t="s">
        <v>587</v>
      </c>
      <c r="AE10" s="52" t="s">
        <v>2083</v>
      </c>
      <c r="AF10" s="70">
        <v>33150.0</v>
      </c>
      <c r="AG10" s="52">
        <v>35.0</v>
      </c>
      <c r="AH10" s="52" t="s">
        <v>1472</v>
      </c>
      <c r="AI10" s="52" t="s">
        <v>2084</v>
      </c>
      <c r="AJ10" s="52" t="s">
        <v>2085</v>
      </c>
      <c r="AK10" s="52" t="s">
        <v>2022</v>
      </c>
      <c r="AL10" s="52" t="s">
        <v>1490</v>
      </c>
      <c r="AM10" s="52" t="s">
        <v>587</v>
      </c>
      <c r="AN10" s="52" t="s">
        <v>1490</v>
      </c>
      <c r="AO10" s="52" t="s">
        <v>1483</v>
      </c>
      <c r="AP10" s="52">
        <v>2625.0</v>
      </c>
      <c r="AQ10" s="52">
        <v>1925.0</v>
      </c>
      <c r="AR10" s="52" t="s">
        <v>53</v>
      </c>
      <c r="AS10" s="69">
        <v>45666.0</v>
      </c>
      <c r="AT10" s="69">
        <v>45755.0</v>
      </c>
      <c r="AU10" s="69">
        <v>45666.0</v>
      </c>
      <c r="AV10" s="69">
        <v>45755.0</v>
      </c>
      <c r="AW10" s="52" t="s">
        <v>1483</v>
      </c>
      <c r="AX10" s="52" t="s">
        <v>587</v>
      </c>
      <c r="AY10" s="52">
        <v>89.0</v>
      </c>
      <c r="AZ10" s="73" t="s">
        <v>2086</v>
      </c>
      <c r="BA10" s="73" t="s">
        <v>2087</v>
      </c>
      <c r="BB10" s="69">
        <v>45666.0</v>
      </c>
      <c r="BC10" s="52" t="s">
        <v>2049</v>
      </c>
      <c r="BD10" s="52">
        <v>7.9623578E7</v>
      </c>
      <c r="BE10" s="52" t="s">
        <v>2050</v>
      </c>
      <c r="BF10" s="52" t="s">
        <v>2026</v>
      </c>
      <c r="BG10" s="52" t="s">
        <v>72</v>
      </c>
      <c r="BH10" s="52" t="s">
        <v>69</v>
      </c>
      <c r="BI10" s="52" t="s">
        <v>2027</v>
      </c>
      <c r="BK10" s="52" t="s">
        <v>2010</v>
      </c>
    </row>
    <row r="11">
      <c r="A11" s="52">
        <v>8.0</v>
      </c>
      <c r="B11" s="52" t="s">
        <v>74</v>
      </c>
      <c r="C11" s="52" t="s">
        <v>2005</v>
      </c>
      <c r="D11" s="52">
        <v>3.9464093E7</v>
      </c>
      <c r="E11" s="52" t="s">
        <v>1908</v>
      </c>
      <c r="F11" s="69">
        <v>45665.0</v>
      </c>
      <c r="G11" s="52" t="s">
        <v>76</v>
      </c>
      <c r="H11" s="52" t="s">
        <v>2007</v>
      </c>
      <c r="I11" s="52" t="s">
        <v>2088</v>
      </c>
      <c r="J11" s="52" t="s">
        <v>1478</v>
      </c>
      <c r="K11" s="52" t="s">
        <v>2059</v>
      </c>
      <c r="L11" s="52" t="s">
        <v>2010</v>
      </c>
      <c r="N11" s="52" t="s">
        <v>2010</v>
      </c>
      <c r="O11" s="69">
        <v>45665.0</v>
      </c>
      <c r="P11" s="52">
        <v>2.0251000001443E13</v>
      </c>
      <c r="Q11" s="52" t="s">
        <v>2089</v>
      </c>
      <c r="R11" s="69">
        <v>45665.0</v>
      </c>
      <c r="S11" s="52" t="s">
        <v>2090</v>
      </c>
      <c r="T11" s="52" t="s">
        <v>2013</v>
      </c>
      <c r="U11" s="52" t="s">
        <v>2091</v>
      </c>
      <c r="V11" s="52" t="s">
        <v>581</v>
      </c>
      <c r="W11" s="52" t="s">
        <v>1471</v>
      </c>
      <c r="X11" s="52" t="s">
        <v>583</v>
      </c>
      <c r="Y11" s="52" t="s">
        <v>2092</v>
      </c>
      <c r="Z11" s="52" t="s">
        <v>2015</v>
      </c>
      <c r="AA11" s="52" t="s">
        <v>2016</v>
      </c>
      <c r="AB11" s="52" t="s">
        <v>2017</v>
      </c>
      <c r="AC11" s="52" t="s">
        <v>2054</v>
      </c>
      <c r="AD11" s="52" t="s">
        <v>587</v>
      </c>
      <c r="AE11" s="52" t="s">
        <v>2093</v>
      </c>
      <c r="AF11" s="69">
        <v>31139.0</v>
      </c>
      <c r="AG11" s="52">
        <v>40.0</v>
      </c>
      <c r="AH11" s="52" t="s">
        <v>1479</v>
      </c>
      <c r="AI11" s="52" t="s">
        <v>2094</v>
      </c>
      <c r="AJ11" s="52" t="s">
        <v>2095</v>
      </c>
      <c r="AK11" s="52" t="s">
        <v>2022</v>
      </c>
      <c r="AL11" s="52" t="s">
        <v>1490</v>
      </c>
      <c r="AM11" s="52" t="s">
        <v>587</v>
      </c>
      <c r="AN11" s="52" t="s">
        <v>1490</v>
      </c>
      <c r="AO11" s="52" t="s">
        <v>1483</v>
      </c>
      <c r="AP11" s="52">
        <v>3925.0</v>
      </c>
      <c r="AQ11" s="52">
        <v>1825.0</v>
      </c>
      <c r="AR11" s="52" t="s">
        <v>77</v>
      </c>
      <c r="AS11" s="69">
        <v>45666.0</v>
      </c>
      <c r="AT11" s="69">
        <v>45755.0</v>
      </c>
      <c r="AU11" s="69">
        <v>45666.0</v>
      </c>
      <c r="AV11" s="69">
        <v>45755.0</v>
      </c>
      <c r="AW11" s="52" t="s">
        <v>1483</v>
      </c>
      <c r="AX11" s="52" t="s">
        <v>587</v>
      </c>
      <c r="AY11" s="52">
        <v>89.0</v>
      </c>
      <c r="AZ11" s="73" t="s">
        <v>2096</v>
      </c>
      <c r="BA11" s="73" t="s">
        <v>2097</v>
      </c>
      <c r="BB11" s="69">
        <v>45666.0</v>
      </c>
      <c r="BC11" s="52" t="s">
        <v>40</v>
      </c>
      <c r="BD11" s="52">
        <v>5.2270362E7</v>
      </c>
      <c r="BE11" s="52" t="s">
        <v>2025</v>
      </c>
      <c r="BF11" s="52" t="s">
        <v>2026</v>
      </c>
      <c r="BG11" s="52" t="s">
        <v>2041</v>
      </c>
      <c r="BH11" s="52" t="s">
        <v>73</v>
      </c>
      <c r="BI11" s="52" t="s">
        <v>2027</v>
      </c>
      <c r="BK11" s="52" t="s">
        <v>2010</v>
      </c>
    </row>
    <row r="12">
      <c r="A12" s="52">
        <v>9.0</v>
      </c>
      <c r="B12" s="52" t="s">
        <v>88</v>
      </c>
      <c r="C12" s="52" t="s">
        <v>2005</v>
      </c>
      <c r="D12" s="52">
        <v>1.02078112E9</v>
      </c>
      <c r="E12" s="52" t="s">
        <v>1908</v>
      </c>
      <c r="F12" s="69">
        <v>45665.0</v>
      </c>
      <c r="G12" s="52" t="s">
        <v>1492</v>
      </c>
      <c r="H12" s="52" t="s">
        <v>2008</v>
      </c>
      <c r="I12" s="52" t="s">
        <v>2008</v>
      </c>
      <c r="J12" s="52" t="s">
        <v>1470</v>
      </c>
      <c r="K12" s="52" t="s">
        <v>2098</v>
      </c>
      <c r="L12" s="52" t="s">
        <v>2010</v>
      </c>
      <c r="N12" s="52" t="s">
        <v>2010</v>
      </c>
      <c r="O12" s="69">
        <v>45665.0</v>
      </c>
      <c r="P12" s="52">
        <v>2.0251600000933E13</v>
      </c>
      <c r="Q12" s="52" t="s">
        <v>2098</v>
      </c>
      <c r="R12" s="69">
        <v>45665.0</v>
      </c>
      <c r="S12" s="52" t="s">
        <v>2099</v>
      </c>
      <c r="T12" s="52" t="s">
        <v>2013</v>
      </c>
      <c r="U12" s="52" t="s">
        <v>2100</v>
      </c>
      <c r="V12" s="52" t="s">
        <v>581</v>
      </c>
      <c r="W12" s="52" t="s">
        <v>1471</v>
      </c>
      <c r="X12" s="52" t="s">
        <v>583</v>
      </c>
      <c r="Y12" s="52" t="s">
        <v>1494</v>
      </c>
      <c r="Z12" s="52" t="s">
        <v>2081</v>
      </c>
      <c r="AA12" s="52" t="s">
        <v>2016</v>
      </c>
      <c r="AB12" s="52" t="s">
        <v>2062</v>
      </c>
      <c r="AC12" s="52" t="s">
        <v>2018</v>
      </c>
      <c r="AD12" s="52" t="s">
        <v>587</v>
      </c>
      <c r="AE12" s="52" t="s">
        <v>2055</v>
      </c>
      <c r="AF12" s="69">
        <v>34100.0</v>
      </c>
      <c r="AG12" s="52">
        <v>32.0</v>
      </c>
      <c r="AH12" s="52" t="s">
        <v>1493</v>
      </c>
      <c r="AI12" s="52" t="s">
        <v>2101</v>
      </c>
      <c r="AJ12" s="52" t="s">
        <v>2102</v>
      </c>
      <c r="AK12" s="52" t="s">
        <v>2022</v>
      </c>
      <c r="AL12" s="52" t="s">
        <v>1495</v>
      </c>
      <c r="AM12" s="52" t="s">
        <v>587</v>
      </c>
      <c r="AN12" s="52" t="s">
        <v>1495</v>
      </c>
      <c r="AO12" s="52" t="s">
        <v>1483</v>
      </c>
      <c r="AP12" s="52">
        <v>1525.0</v>
      </c>
      <c r="AQ12" s="52">
        <v>1225.0</v>
      </c>
      <c r="AR12" s="52" t="s">
        <v>91</v>
      </c>
      <c r="AS12" s="69">
        <v>45666.0</v>
      </c>
      <c r="AT12" s="70">
        <v>46014.0</v>
      </c>
      <c r="AU12" s="69">
        <v>45666.0</v>
      </c>
      <c r="AV12" s="70">
        <v>46014.0</v>
      </c>
      <c r="AW12" s="52" t="s">
        <v>1483</v>
      </c>
      <c r="AX12" s="52" t="s">
        <v>587</v>
      </c>
      <c r="AY12" s="52">
        <v>348.0</v>
      </c>
      <c r="AZ12" s="73" t="s">
        <v>2103</v>
      </c>
      <c r="BA12" s="73" t="s">
        <v>2038</v>
      </c>
      <c r="BB12" s="69">
        <v>45666.0</v>
      </c>
      <c r="BC12" s="52" t="s">
        <v>92</v>
      </c>
      <c r="BD12" s="52">
        <v>1.013664334E9</v>
      </c>
      <c r="BE12" s="52" t="s">
        <v>2104</v>
      </c>
      <c r="BF12" s="52" t="s">
        <v>165</v>
      </c>
      <c r="BG12" s="52" t="s">
        <v>2041</v>
      </c>
      <c r="BH12" s="52" t="s">
        <v>87</v>
      </c>
      <c r="BI12" s="52" t="s">
        <v>2027</v>
      </c>
      <c r="BK12" s="52" t="s">
        <v>2010</v>
      </c>
    </row>
    <row r="13">
      <c r="A13" s="52">
        <v>10.0</v>
      </c>
      <c r="B13" s="52" t="s">
        <v>95</v>
      </c>
      <c r="C13" s="52" t="s">
        <v>2005</v>
      </c>
      <c r="D13" s="52">
        <v>1.085276539E9</v>
      </c>
      <c r="E13" s="52" t="s">
        <v>1908</v>
      </c>
      <c r="F13" s="69">
        <v>45666.0</v>
      </c>
      <c r="G13" s="52" t="s">
        <v>1496</v>
      </c>
      <c r="H13" s="52" t="s">
        <v>2088</v>
      </c>
      <c r="I13" s="52" t="s">
        <v>2088</v>
      </c>
      <c r="J13" s="52" t="s">
        <v>1478</v>
      </c>
      <c r="K13" s="52" t="s">
        <v>2059</v>
      </c>
      <c r="L13" s="52" t="s">
        <v>2010</v>
      </c>
      <c r="N13" s="52" t="s">
        <v>2010</v>
      </c>
      <c r="O13" s="69">
        <v>45665.0</v>
      </c>
      <c r="P13" s="52">
        <v>2.0251000001283E13</v>
      </c>
      <c r="Q13" s="52" t="s">
        <v>2098</v>
      </c>
      <c r="R13" s="69">
        <v>45665.0</v>
      </c>
      <c r="S13" s="52" t="s">
        <v>2105</v>
      </c>
      <c r="T13" s="52" t="s">
        <v>2013</v>
      </c>
      <c r="U13" s="52" t="s">
        <v>2106</v>
      </c>
      <c r="V13" s="52" t="s">
        <v>581</v>
      </c>
      <c r="W13" s="52" t="s">
        <v>1471</v>
      </c>
      <c r="X13" s="52" t="s">
        <v>583</v>
      </c>
      <c r="Y13" s="52" t="s">
        <v>1498</v>
      </c>
      <c r="Z13" s="52" t="s">
        <v>2015</v>
      </c>
      <c r="AA13" s="52" t="s">
        <v>2016</v>
      </c>
      <c r="AB13" s="52" t="s">
        <v>2032</v>
      </c>
      <c r="AC13" s="52" t="s">
        <v>2033</v>
      </c>
      <c r="AD13" s="52" t="s">
        <v>587</v>
      </c>
      <c r="AE13" s="52" t="s">
        <v>2107</v>
      </c>
      <c r="AF13" s="69">
        <v>32757.0</v>
      </c>
      <c r="AG13" s="52">
        <v>36.0</v>
      </c>
      <c r="AH13" s="52" t="s">
        <v>1479</v>
      </c>
      <c r="AI13" s="52" t="s">
        <v>2108</v>
      </c>
      <c r="AJ13" s="52" t="s">
        <v>2109</v>
      </c>
      <c r="AK13" s="52" t="s">
        <v>2022</v>
      </c>
      <c r="AL13" s="52" t="s">
        <v>1499</v>
      </c>
      <c r="AM13" s="52">
        <v>1.2E7</v>
      </c>
      <c r="AN13" s="52" t="s">
        <v>1500</v>
      </c>
      <c r="AO13" s="52" t="s">
        <v>1483</v>
      </c>
      <c r="AP13" s="52">
        <v>3625.0</v>
      </c>
      <c r="AQ13" s="52">
        <v>2125.0</v>
      </c>
      <c r="AR13" s="52" t="s">
        <v>98</v>
      </c>
      <c r="AS13" s="69">
        <v>45667.0</v>
      </c>
      <c r="AT13" s="70">
        <v>46015.0</v>
      </c>
      <c r="AU13" s="69">
        <v>45667.0</v>
      </c>
      <c r="AV13" s="70">
        <v>46015.0</v>
      </c>
      <c r="AW13" s="52" t="s">
        <v>1483</v>
      </c>
      <c r="AX13" s="52" t="s">
        <v>587</v>
      </c>
      <c r="AY13" s="52">
        <v>348.0</v>
      </c>
      <c r="AZ13" s="73" t="s">
        <v>2110</v>
      </c>
      <c r="BA13" s="73" t="s">
        <v>2111</v>
      </c>
      <c r="BB13" s="69">
        <v>45667.0</v>
      </c>
      <c r="BC13" s="52" t="s">
        <v>410</v>
      </c>
      <c r="BD13" s="69">
        <v>1.0012294E7</v>
      </c>
      <c r="BE13" s="52" t="s">
        <v>2112</v>
      </c>
      <c r="BF13" s="52" t="s">
        <v>100</v>
      </c>
      <c r="BG13" s="52" t="s">
        <v>2041</v>
      </c>
      <c r="BH13" s="52" t="s">
        <v>94</v>
      </c>
      <c r="BI13" s="52" t="s">
        <v>2027</v>
      </c>
      <c r="BK13" s="52" t="s">
        <v>2010</v>
      </c>
    </row>
    <row r="14">
      <c r="A14" s="52">
        <v>11.0</v>
      </c>
      <c r="B14" s="52" t="s">
        <v>102</v>
      </c>
      <c r="C14" s="52" t="s">
        <v>2005</v>
      </c>
      <c r="D14" s="52">
        <v>1.016013668E9</v>
      </c>
      <c r="E14" s="52" t="s">
        <v>1908</v>
      </c>
      <c r="F14" s="69">
        <v>45665.0</v>
      </c>
      <c r="G14" s="52" t="s">
        <v>1501</v>
      </c>
      <c r="H14" s="52" t="s">
        <v>2088</v>
      </c>
      <c r="I14" s="52" t="s">
        <v>2088</v>
      </c>
      <c r="J14" s="52" t="s">
        <v>1478</v>
      </c>
      <c r="K14" s="52" t="s">
        <v>2059</v>
      </c>
      <c r="L14" s="52" t="s">
        <v>2010</v>
      </c>
      <c r="N14" s="52" t="s">
        <v>2010</v>
      </c>
      <c r="O14" s="69">
        <v>45665.0</v>
      </c>
      <c r="P14" s="52">
        <v>2.0251000001293E13</v>
      </c>
      <c r="Q14" s="52" t="s">
        <v>2029</v>
      </c>
      <c r="R14" s="69">
        <v>45665.0</v>
      </c>
      <c r="S14" s="52" t="s">
        <v>2113</v>
      </c>
      <c r="T14" s="52" t="s">
        <v>2013</v>
      </c>
      <c r="V14" s="52" t="s">
        <v>581</v>
      </c>
      <c r="W14" s="52" t="s">
        <v>1471</v>
      </c>
      <c r="X14" s="52" t="s">
        <v>583</v>
      </c>
      <c r="Y14" s="52" t="s">
        <v>103</v>
      </c>
      <c r="Z14" s="52" t="s">
        <v>2081</v>
      </c>
      <c r="AA14" s="52" t="s">
        <v>2016</v>
      </c>
      <c r="AB14" s="52" t="s">
        <v>2062</v>
      </c>
      <c r="AC14" s="52" t="s">
        <v>2114</v>
      </c>
      <c r="AD14" s="52" t="s">
        <v>587</v>
      </c>
      <c r="AE14" s="52" t="s">
        <v>2093</v>
      </c>
      <c r="AF14" s="70">
        <v>32459.0</v>
      </c>
      <c r="AG14" s="52">
        <v>37.0</v>
      </c>
      <c r="AH14" s="52" t="s">
        <v>1472</v>
      </c>
      <c r="AI14" s="52" t="s">
        <v>2115</v>
      </c>
      <c r="AJ14" s="52" t="s">
        <v>2116</v>
      </c>
      <c r="AK14" s="52" t="s">
        <v>2022</v>
      </c>
      <c r="AL14" s="52" t="s">
        <v>1502</v>
      </c>
      <c r="AM14" s="52" t="s">
        <v>587</v>
      </c>
      <c r="AN14" s="52" t="s">
        <v>1502</v>
      </c>
      <c r="AO14" s="52" t="s">
        <v>1483</v>
      </c>
      <c r="AP14" s="52">
        <v>3525.0</v>
      </c>
      <c r="AQ14" s="52">
        <v>1525.0</v>
      </c>
      <c r="AR14" s="52" t="s">
        <v>77</v>
      </c>
      <c r="AS14" s="69">
        <v>45666.0</v>
      </c>
      <c r="AT14" s="70">
        <v>46014.0</v>
      </c>
      <c r="AU14" s="69">
        <v>45666.0</v>
      </c>
      <c r="AV14" s="70">
        <v>46014.0</v>
      </c>
      <c r="AW14" s="52" t="s">
        <v>1483</v>
      </c>
      <c r="AX14" s="52" t="s">
        <v>587</v>
      </c>
      <c r="AY14" s="52">
        <v>348.0</v>
      </c>
      <c r="AZ14" s="73" t="s">
        <v>2117</v>
      </c>
      <c r="BA14" s="73" t="s">
        <v>2118</v>
      </c>
      <c r="BB14" s="69">
        <v>45666.0</v>
      </c>
      <c r="BC14" s="52" t="s">
        <v>2119</v>
      </c>
      <c r="BD14" s="52">
        <v>1.019090785E9</v>
      </c>
      <c r="BE14" s="52" t="s">
        <v>2120</v>
      </c>
      <c r="BF14" s="52" t="s">
        <v>100</v>
      </c>
      <c r="BG14" s="52" t="s">
        <v>2041</v>
      </c>
      <c r="BH14" s="52" t="s">
        <v>101</v>
      </c>
      <c r="BI14" s="52" t="s">
        <v>2027</v>
      </c>
      <c r="BK14" s="52" t="s">
        <v>2010</v>
      </c>
    </row>
    <row r="15">
      <c r="A15" s="52">
        <v>12.0</v>
      </c>
      <c r="B15" s="52" t="s">
        <v>108</v>
      </c>
      <c r="C15" s="52" t="s">
        <v>2005</v>
      </c>
      <c r="D15" s="52">
        <v>1.032409297E9</v>
      </c>
      <c r="E15" s="52" t="s">
        <v>1908</v>
      </c>
      <c r="F15" s="69">
        <v>45666.0</v>
      </c>
      <c r="G15" s="52" t="s">
        <v>110</v>
      </c>
      <c r="H15" s="52" t="s">
        <v>2121</v>
      </c>
      <c r="I15" s="52" t="s">
        <v>2121</v>
      </c>
      <c r="J15" s="52" t="s">
        <v>1478</v>
      </c>
      <c r="K15" s="52" t="s">
        <v>2029</v>
      </c>
      <c r="L15" s="52" t="s">
        <v>2010</v>
      </c>
      <c r="N15" s="52" t="s">
        <v>2010</v>
      </c>
      <c r="O15" s="52" t="s">
        <v>2122</v>
      </c>
      <c r="P15" s="52" t="s">
        <v>2123</v>
      </c>
      <c r="Q15" s="52" t="s">
        <v>2029</v>
      </c>
      <c r="R15" s="52" t="s">
        <v>2122</v>
      </c>
      <c r="S15" s="52" t="s">
        <v>2124</v>
      </c>
      <c r="T15" s="52" t="s">
        <v>2013</v>
      </c>
      <c r="V15" s="52" t="s">
        <v>581</v>
      </c>
      <c r="W15" s="52" t="s">
        <v>1471</v>
      </c>
      <c r="X15" s="52" t="s">
        <v>583</v>
      </c>
      <c r="Y15" s="52" t="s">
        <v>1505</v>
      </c>
      <c r="Z15" s="52" t="s">
        <v>2015</v>
      </c>
      <c r="AA15" s="52" t="s">
        <v>2016</v>
      </c>
      <c r="AB15" s="52" t="s">
        <v>2032</v>
      </c>
      <c r="AC15" s="52" t="s">
        <v>2033</v>
      </c>
      <c r="AD15" s="52" t="s">
        <v>587</v>
      </c>
      <c r="AE15" s="52" t="s">
        <v>2093</v>
      </c>
      <c r="AF15" s="69">
        <v>32222.0</v>
      </c>
      <c r="AG15" s="52">
        <v>37.0</v>
      </c>
      <c r="AH15" s="52" t="s">
        <v>1504</v>
      </c>
      <c r="AI15" s="52" t="s">
        <v>2125</v>
      </c>
      <c r="AJ15" s="52" t="s">
        <v>2126</v>
      </c>
      <c r="AK15" s="52" t="s">
        <v>2022</v>
      </c>
      <c r="AL15" s="52" t="s">
        <v>1506</v>
      </c>
      <c r="AM15" s="52" t="s">
        <v>587</v>
      </c>
      <c r="AN15" s="52" t="s">
        <v>1506</v>
      </c>
      <c r="AO15" s="52" t="s">
        <v>1483</v>
      </c>
      <c r="AP15" s="52">
        <v>824.0</v>
      </c>
      <c r="AQ15" s="52">
        <v>2225.0</v>
      </c>
      <c r="AR15" s="52" t="s">
        <v>111</v>
      </c>
      <c r="AS15" s="69">
        <v>45667.0</v>
      </c>
      <c r="AT15" s="70">
        <v>46015.0</v>
      </c>
      <c r="AU15" s="69">
        <v>45667.0</v>
      </c>
      <c r="AV15" s="70">
        <v>46015.0</v>
      </c>
      <c r="AW15" s="52" t="s">
        <v>1483</v>
      </c>
      <c r="AX15" s="52" t="s">
        <v>587</v>
      </c>
      <c r="AY15" s="52">
        <v>348.0</v>
      </c>
      <c r="AZ15" s="73" t="s">
        <v>2127</v>
      </c>
      <c r="BA15" s="73" t="s">
        <v>2128</v>
      </c>
      <c r="BB15" s="69">
        <v>45667.0</v>
      </c>
      <c r="BC15" s="52" t="s">
        <v>112</v>
      </c>
      <c r="BD15" s="52">
        <v>5.2528698E7</v>
      </c>
      <c r="BE15" s="52" t="s">
        <v>2129</v>
      </c>
      <c r="BF15" s="52" t="s">
        <v>113</v>
      </c>
      <c r="BG15" s="52" t="s">
        <v>2041</v>
      </c>
      <c r="BH15" s="52" t="s">
        <v>2130</v>
      </c>
      <c r="BI15" s="52" t="s">
        <v>2027</v>
      </c>
      <c r="BK15" s="52" t="s">
        <v>2010</v>
      </c>
    </row>
    <row r="16">
      <c r="A16" s="52">
        <v>13.0</v>
      </c>
      <c r="B16" s="52" t="s">
        <v>115</v>
      </c>
      <c r="C16" s="52" t="s">
        <v>2005</v>
      </c>
      <c r="D16" s="52">
        <v>5.235846E7</v>
      </c>
      <c r="E16" s="52" t="s">
        <v>1908</v>
      </c>
      <c r="F16" s="69">
        <v>45666.0</v>
      </c>
      <c r="G16" s="52" t="s">
        <v>117</v>
      </c>
      <c r="H16" s="52" t="s">
        <v>2088</v>
      </c>
      <c r="I16" s="52" t="s">
        <v>2088</v>
      </c>
      <c r="J16" s="52" t="s">
        <v>1478</v>
      </c>
      <c r="K16" s="52" t="s">
        <v>2059</v>
      </c>
      <c r="L16" s="52" t="s">
        <v>2010</v>
      </c>
      <c r="N16" s="52" t="s">
        <v>2010</v>
      </c>
      <c r="O16" s="69">
        <v>45665.0</v>
      </c>
      <c r="P16" s="52">
        <v>2.0251000001493E13</v>
      </c>
      <c r="Q16" s="52" t="s">
        <v>2098</v>
      </c>
      <c r="R16" s="69">
        <v>45665.0</v>
      </c>
      <c r="S16" s="52" t="s">
        <v>2131</v>
      </c>
      <c r="T16" s="52" t="s">
        <v>2013</v>
      </c>
      <c r="U16" s="52" t="s">
        <v>2132</v>
      </c>
      <c r="V16" s="52" t="s">
        <v>581</v>
      </c>
      <c r="W16" s="52" t="s">
        <v>1471</v>
      </c>
      <c r="X16" s="52" t="s">
        <v>583</v>
      </c>
      <c r="Y16" s="52" t="s">
        <v>116</v>
      </c>
      <c r="Z16" s="52" t="s">
        <v>2015</v>
      </c>
      <c r="AA16" s="52" t="s">
        <v>2016</v>
      </c>
      <c r="AB16" s="52" t="s">
        <v>2062</v>
      </c>
      <c r="AC16" s="52" t="s">
        <v>2018</v>
      </c>
      <c r="AD16" s="52" t="s">
        <v>587</v>
      </c>
      <c r="AE16" s="52" t="s">
        <v>2093</v>
      </c>
      <c r="AF16" s="70">
        <v>28479.0</v>
      </c>
      <c r="AG16" s="52">
        <v>48.0</v>
      </c>
      <c r="AH16" s="52" t="s">
        <v>1507</v>
      </c>
      <c r="AI16" s="52" t="s">
        <v>2133</v>
      </c>
      <c r="AJ16" s="52" t="s">
        <v>2134</v>
      </c>
      <c r="AK16" s="52" t="s">
        <v>2022</v>
      </c>
      <c r="AL16" s="52" t="s">
        <v>1508</v>
      </c>
      <c r="AM16" s="52">
        <v>2000000.0</v>
      </c>
      <c r="AN16" s="52" t="s">
        <v>1509</v>
      </c>
      <c r="AO16" s="52" t="s">
        <v>1483</v>
      </c>
      <c r="AP16" s="52">
        <v>4525.0</v>
      </c>
      <c r="AQ16" s="52">
        <v>2025.0</v>
      </c>
      <c r="AR16" s="52" t="s">
        <v>77</v>
      </c>
      <c r="AS16" s="69">
        <v>45667.0</v>
      </c>
      <c r="AT16" s="70">
        <v>46015.0</v>
      </c>
      <c r="AU16" s="69">
        <v>45667.0</v>
      </c>
      <c r="AV16" s="70">
        <v>46014.0</v>
      </c>
      <c r="AW16" s="52" t="s">
        <v>1483</v>
      </c>
      <c r="AX16" s="52" t="s">
        <v>587</v>
      </c>
      <c r="AY16" s="52">
        <v>347.0</v>
      </c>
      <c r="AZ16" s="73" t="s">
        <v>2135</v>
      </c>
      <c r="BA16" s="73" t="s">
        <v>2136</v>
      </c>
      <c r="BB16" s="69">
        <v>45667.0</v>
      </c>
      <c r="BC16" s="52" t="s">
        <v>2119</v>
      </c>
      <c r="BD16" s="52">
        <v>1.019090785E9</v>
      </c>
      <c r="BE16" s="52" t="s">
        <v>2120</v>
      </c>
      <c r="BF16" s="52" t="s">
        <v>100</v>
      </c>
      <c r="BG16" s="52" t="s">
        <v>2041</v>
      </c>
      <c r="BH16" s="52" t="s">
        <v>114</v>
      </c>
      <c r="BI16" s="52" t="s">
        <v>2027</v>
      </c>
      <c r="BK16" s="52" t="s">
        <v>2010</v>
      </c>
    </row>
    <row r="17">
      <c r="A17" s="52">
        <v>14.0</v>
      </c>
      <c r="B17" s="52" t="s">
        <v>119</v>
      </c>
      <c r="C17" s="52" t="s">
        <v>2005</v>
      </c>
      <c r="D17" s="52">
        <v>1.014280937E9</v>
      </c>
      <c r="E17" s="52" t="s">
        <v>1908</v>
      </c>
      <c r="F17" s="69">
        <v>45665.0</v>
      </c>
      <c r="G17" s="52" t="s">
        <v>121</v>
      </c>
      <c r="H17" s="52" t="s">
        <v>2008</v>
      </c>
      <c r="I17" s="52" t="s">
        <v>2008</v>
      </c>
      <c r="J17" s="52" t="s">
        <v>1478</v>
      </c>
      <c r="K17" s="52" t="s">
        <v>2098</v>
      </c>
      <c r="L17" s="52" t="s">
        <v>2010</v>
      </c>
      <c r="N17" s="52" t="s">
        <v>2010</v>
      </c>
      <c r="O17" s="69">
        <v>45665.0</v>
      </c>
      <c r="P17" s="52">
        <v>2.0251600001563E13</v>
      </c>
      <c r="Q17" s="52" t="s">
        <v>2098</v>
      </c>
      <c r="R17" s="69">
        <v>45665.0</v>
      </c>
      <c r="S17" s="52" t="s">
        <v>2137</v>
      </c>
      <c r="T17" s="52" t="s">
        <v>2013</v>
      </c>
      <c r="V17" s="52" t="s">
        <v>581</v>
      </c>
      <c r="W17" s="52" t="s">
        <v>1471</v>
      </c>
      <c r="X17" s="52" t="s">
        <v>583</v>
      </c>
      <c r="Y17" s="52" t="s">
        <v>120</v>
      </c>
      <c r="Z17" s="52" t="s">
        <v>2081</v>
      </c>
      <c r="AA17" s="52" t="s">
        <v>2016</v>
      </c>
      <c r="AB17" s="52" t="s">
        <v>2032</v>
      </c>
      <c r="AC17" s="52" t="s">
        <v>2018</v>
      </c>
      <c r="AD17" s="52" t="s">
        <v>587</v>
      </c>
      <c r="AE17" s="52" t="s">
        <v>2093</v>
      </c>
      <c r="AF17" s="69">
        <v>35315.0</v>
      </c>
      <c r="AG17" s="52">
        <v>29.0</v>
      </c>
      <c r="AH17" s="52" t="s">
        <v>1510</v>
      </c>
      <c r="AI17" s="52" t="s">
        <v>2138</v>
      </c>
      <c r="AJ17" s="52" t="s">
        <v>2139</v>
      </c>
      <c r="AK17" s="52" t="s">
        <v>2022</v>
      </c>
      <c r="AL17" s="52" t="s">
        <v>1511</v>
      </c>
      <c r="AM17" s="52" t="s">
        <v>587</v>
      </c>
      <c r="AN17" s="52" t="s">
        <v>1511</v>
      </c>
      <c r="AO17" s="52" t="s">
        <v>1483</v>
      </c>
      <c r="AP17" s="52">
        <v>4125.0</v>
      </c>
      <c r="AQ17" s="52">
        <v>1625.0</v>
      </c>
      <c r="AR17" s="52" t="s">
        <v>91</v>
      </c>
      <c r="AS17" s="69">
        <v>45666.0</v>
      </c>
      <c r="AT17" s="69">
        <v>45846.0</v>
      </c>
      <c r="AU17" s="69">
        <v>45666.0</v>
      </c>
      <c r="AV17" s="69">
        <v>45846.0</v>
      </c>
      <c r="AW17" s="52" t="s">
        <v>1483</v>
      </c>
      <c r="AX17" s="52" t="s">
        <v>587</v>
      </c>
      <c r="AY17" s="52">
        <v>180.0</v>
      </c>
      <c r="AZ17" s="73" t="s">
        <v>2140</v>
      </c>
      <c r="BA17" s="73" t="s">
        <v>2141</v>
      </c>
      <c r="BB17" s="69">
        <v>45666.0</v>
      </c>
      <c r="BC17" s="52" t="s">
        <v>122</v>
      </c>
      <c r="BD17" s="52">
        <v>6.8297252E7</v>
      </c>
      <c r="BE17" s="52" t="s">
        <v>2142</v>
      </c>
      <c r="BF17" s="52" t="s">
        <v>93</v>
      </c>
      <c r="BG17" s="52" t="s">
        <v>2041</v>
      </c>
      <c r="BH17" s="52" t="s">
        <v>118</v>
      </c>
      <c r="BI17" s="52" t="s">
        <v>2027</v>
      </c>
      <c r="BK17" s="52" t="s">
        <v>2010</v>
      </c>
    </row>
    <row r="18">
      <c r="A18" s="52">
        <v>15.0</v>
      </c>
      <c r="B18" s="52" t="s">
        <v>124</v>
      </c>
      <c r="C18" s="52" t="s">
        <v>2005</v>
      </c>
      <c r="D18" s="52">
        <v>1.013653433E9</v>
      </c>
      <c r="E18" s="52" t="s">
        <v>1908</v>
      </c>
      <c r="F18" s="69">
        <v>45665.0</v>
      </c>
      <c r="G18" s="52" t="s">
        <v>126</v>
      </c>
      <c r="H18" s="52" t="s">
        <v>2143</v>
      </c>
      <c r="I18" s="52" t="s">
        <v>2143</v>
      </c>
      <c r="J18" s="52" t="s">
        <v>1470</v>
      </c>
      <c r="K18" s="52" t="s">
        <v>2029</v>
      </c>
      <c r="L18" s="52" t="s">
        <v>2010</v>
      </c>
      <c r="N18" s="52" t="s">
        <v>2010</v>
      </c>
      <c r="O18" s="69">
        <v>45665.0</v>
      </c>
      <c r="P18" s="52">
        <v>2.0251010001403E13</v>
      </c>
      <c r="Q18" s="52" t="s">
        <v>2029</v>
      </c>
      <c r="R18" s="69">
        <v>45665.0</v>
      </c>
      <c r="S18" s="52" t="s">
        <v>2144</v>
      </c>
      <c r="T18" s="52" t="s">
        <v>2013</v>
      </c>
      <c r="V18" s="52" t="s">
        <v>581</v>
      </c>
      <c r="W18" s="52" t="s">
        <v>1471</v>
      </c>
      <c r="X18" s="52" t="s">
        <v>583</v>
      </c>
      <c r="Y18" s="52" t="s">
        <v>125</v>
      </c>
      <c r="Z18" s="52" t="s">
        <v>2015</v>
      </c>
      <c r="AA18" s="52" t="s">
        <v>2016</v>
      </c>
      <c r="AB18" s="52" t="s">
        <v>2032</v>
      </c>
      <c r="AC18" s="52" t="s">
        <v>2018</v>
      </c>
      <c r="AD18" s="52" t="s">
        <v>587</v>
      </c>
      <c r="AE18" s="52" t="s">
        <v>2145</v>
      </c>
      <c r="AF18" s="70">
        <v>34621.0</v>
      </c>
      <c r="AG18" s="52">
        <v>31.0</v>
      </c>
      <c r="AH18" s="52" t="s">
        <v>1507</v>
      </c>
      <c r="AI18" s="52" t="s">
        <v>2146</v>
      </c>
      <c r="AJ18" s="52" t="s">
        <v>2147</v>
      </c>
      <c r="AK18" s="52" t="s">
        <v>2022</v>
      </c>
      <c r="AL18" s="52" t="s">
        <v>1514</v>
      </c>
      <c r="AM18" s="52" t="s">
        <v>587</v>
      </c>
      <c r="AN18" s="52" t="s">
        <v>1514</v>
      </c>
      <c r="AO18" s="52" t="s">
        <v>1483</v>
      </c>
      <c r="AP18" s="52">
        <v>1225.0</v>
      </c>
      <c r="AQ18" s="52">
        <v>1725.0</v>
      </c>
      <c r="AR18" s="52" t="s">
        <v>91</v>
      </c>
      <c r="AS18" s="69">
        <v>45666.0</v>
      </c>
      <c r="AT18" s="70">
        <v>46014.0</v>
      </c>
      <c r="AU18" s="69">
        <v>45666.0</v>
      </c>
      <c r="AV18" s="70">
        <v>46014.0</v>
      </c>
      <c r="AW18" s="52" t="s">
        <v>1483</v>
      </c>
      <c r="AX18" s="52" t="s">
        <v>587</v>
      </c>
      <c r="AY18" s="52">
        <v>348.0</v>
      </c>
      <c r="AZ18" s="73" t="s">
        <v>2148</v>
      </c>
      <c r="BA18" s="73" t="s">
        <v>2149</v>
      </c>
    </row>
    <row r="19">
      <c r="B19" s="69">
        <v>45666.0</v>
      </c>
      <c r="C19" s="52" t="s">
        <v>127</v>
      </c>
      <c r="D19" s="52">
        <v>8.3169069E7</v>
      </c>
      <c r="E19" s="52" t="s">
        <v>2150</v>
      </c>
      <c r="F19" s="52" t="s">
        <v>128</v>
      </c>
      <c r="G19" s="52" t="s">
        <v>2041</v>
      </c>
      <c r="H19" s="52" t="s">
        <v>123</v>
      </c>
      <c r="I19" s="52" t="s">
        <v>2027</v>
      </c>
      <c r="K19" s="52" t="s">
        <v>2010</v>
      </c>
    </row>
    <row r="20">
      <c r="A20" s="52">
        <v>16.0</v>
      </c>
      <c r="B20" s="52" t="s">
        <v>130</v>
      </c>
      <c r="C20" s="52" t="s">
        <v>2005</v>
      </c>
      <c r="D20" s="52">
        <v>1.010244152E9</v>
      </c>
      <c r="E20" s="52" t="s">
        <v>1908</v>
      </c>
      <c r="F20" s="69">
        <v>45666.0</v>
      </c>
      <c r="G20" s="52" t="s">
        <v>132</v>
      </c>
      <c r="H20" s="52" t="s">
        <v>134</v>
      </c>
      <c r="I20" s="52" t="s">
        <v>134</v>
      </c>
      <c r="J20" s="52" t="s">
        <v>1478</v>
      </c>
      <c r="K20" s="52" t="s">
        <v>2069</v>
      </c>
      <c r="L20" s="52" t="s">
        <v>2010</v>
      </c>
      <c r="N20" s="52" t="s">
        <v>2010</v>
      </c>
      <c r="O20" s="69">
        <v>45665.0</v>
      </c>
      <c r="P20" s="52">
        <v>2.0251300001343E13</v>
      </c>
      <c r="Q20" s="52" t="s">
        <v>2069</v>
      </c>
      <c r="R20" s="69">
        <v>45666.0</v>
      </c>
      <c r="S20" s="52" t="s">
        <v>2151</v>
      </c>
      <c r="T20" s="52" t="s">
        <v>2013</v>
      </c>
      <c r="U20" s="52" t="s">
        <v>2152</v>
      </c>
      <c r="V20" s="52" t="s">
        <v>581</v>
      </c>
      <c r="W20" s="52" t="s">
        <v>1471</v>
      </c>
      <c r="X20" s="52" t="s">
        <v>583</v>
      </c>
      <c r="Y20" s="52" t="s">
        <v>1516</v>
      </c>
      <c r="Z20" s="52" t="s">
        <v>2015</v>
      </c>
      <c r="AA20" s="52" t="s">
        <v>2153</v>
      </c>
      <c r="AB20" s="52" t="s">
        <v>2032</v>
      </c>
      <c r="AC20" s="52" t="s">
        <v>2018</v>
      </c>
      <c r="AD20" s="52" t="s">
        <v>587</v>
      </c>
      <c r="AE20" s="52" t="s">
        <v>2145</v>
      </c>
      <c r="AF20" s="69">
        <v>36198.0</v>
      </c>
      <c r="AG20" s="52">
        <v>26.0</v>
      </c>
      <c r="AH20" s="52" t="s">
        <v>1515</v>
      </c>
      <c r="AI20" s="52" t="s">
        <v>2154</v>
      </c>
      <c r="AJ20" s="52" t="s">
        <v>2155</v>
      </c>
      <c r="AK20" s="52" t="s">
        <v>2022</v>
      </c>
      <c r="AL20" s="52" t="s">
        <v>1517</v>
      </c>
      <c r="AM20" s="52" t="s">
        <v>587</v>
      </c>
      <c r="AN20" s="52" t="s">
        <v>1517</v>
      </c>
      <c r="AO20" s="52" t="s">
        <v>1483</v>
      </c>
      <c r="AP20" s="52">
        <v>1425.0</v>
      </c>
      <c r="AQ20" s="52">
        <v>3225.0</v>
      </c>
      <c r="AR20" s="52" t="s">
        <v>62</v>
      </c>
      <c r="AS20" s="69">
        <v>45667.0</v>
      </c>
      <c r="AT20" s="70">
        <v>46000.0</v>
      </c>
      <c r="AU20" s="69">
        <v>45667.0</v>
      </c>
      <c r="AV20" s="70">
        <v>46000.0</v>
      </c>
      <c r="AW20" s="52" t="s">
        <v>1483</v>
      </c>
      <c r="AX20" s="52" t="s">
        <v>587</v>
      </c>
      <c r="AY20" s="52">
        <v>333.0</v>
      </c>
      <c r="AZ20" s="73" t="s">
        <v>2156</v>
      </c>
      <c r="BA20" s="73" t="s">
        <v>2157</v>
      </c>
    </row>
    <row r="21">
      <c r="B21" s="69">
        <v>45667.0</v>
      </c>
      <c r="C21" s="52" t="s">
        <v>133</v>
      </c>
      <c r="D21" s="52">
        <v>7.9983791E7</v>
      </c>
      <c r="E21" s="52" t="s">
        <v>2158</v>
      </c>
      <c r="F21" s="52" t="s">
        <v>134</v>
      </c>
      <c r="G21" s="52" t="s">
        <v>2041</v>
      </c>
      <c r="H21" s="52" t="s">
        <v>129</v>
      </c>
      <c r="I21" s="52" t="s">
        <v>2027</v>
      </c>
      <c r="K21" s="52" t="s">
        <v>2010</v>
      </c>
    </row>
    <row r="22">
      <c r="A22" s="52">
        <v>17.0</v>
      </c>
      <c r="B22" s="52" t="s">
        <v>136</v>
      </c>
      <c r="C22" s="52" t="s">
        <v>2005</v>
      </c>
      <c r="D22" s="52">
        <v>1.022380851E9</v>
      </c>
      <c r="E22" s="52" t="s">
        <v>1908</v>
      </c>
      <c r="F22" s="69">
        <v>45666.0</v>
      </c>
      <c r="G22" s="52" t="s">
        <v>2159</v>
      </c>
      <c r="H22" s="52" t="s">
        <v>2028</v>
      </c>
      <c r="I22" s="52" t="s">
        <v>2028</v>
      </c>
      <c r="J22" s="52" t="s">
        <v>1478</v>
      </c>
      <c r="K22" s="52" t="s">
        <v>2029</v>
      </c>
      <c r="L22" s="52" t="s">
        <v>2010</v>
      </c>
      <c r="N22" s="52" t="s">
        <v>2010</v>
      </c>
      <c r="O22" s="69">
        <v>45666.0</v>
      </c>
      <c r="P22" s="52">
        <v>2.0251100001813E13</v>
      </c>
      <c r="Q22" s="52" t="s">
        <v>2029</v>
      </c>
      <c r="R22" s="69">
        <v>45666.0</v>
      </c>
      <c r="S22" s="52" t="s">
        <v>2160</v>
      </c>
      <c r="T22" s="52" t="s">
        <v>2013</v>
      </c>
      <c r="U22" s="52" t="s">
        <v>2161</v>
      </c>
      <c r="V22" s="52" t="s">
        <v>581</v>
      </c>
      <c r="W22" s="52" t="s">
        <v>1471</v>
      </c>
      <c r="X22" s="52" t="s">
        <v>583</v>
      </c>
      <c r="Y22" s="52" t="s">
        <v>137</v>
      </c>
      <c r="Z22" s="52" t="s">
        <v>2015</v>
      </c>
      <c r="AA22" s="52" t="s">
        <v>2016</v>
      </c>
      <c r="AB22" s="52" t="s">
        <v>2017</v>
      </c>
      <c r="AC22" s="52" t="s">
        <v>2063</v>
      </c>
      <c r="AD22" s="52" t="s">
        <v>587</v>
      </c>
      <c r="AE22" s="52" t="s">
        <v>2162</v>
      </c>
      <c r="AF22" s="69">
        <v>33974.0</v>
      </c>
      <c r="AG22" s="52">
        <v>32.0</v>
      </c>
      <c r="AH22" s="52" t="s">
        <v>1479</v>
      </c>
      <c r="AI22" s="52" t="s">
        <v>2163</v>
      </c>
      <c r="AJ22" s="52" t="s">
        <v>2164</v>
      </c>
      <c r="AK22" s="52" t="s">
        <v>2022</v>
      </c>
      <c r="AL22" s="52" t="s">
        <v>1519</v>
      </c>
      <c r="AM22" s="52" t="s">
        <v>587</v>
      </c>
      <c r="AN22" s="52" t="s">
        <v>1519</v>
      </c>
      <c r="AO22" s="52" t="s">
        <v>1483</v>
      </c>
      <c r="AP22" s="52">
        <v>2725.0</v>
      </c>
      <c r="AQ22" s="52">
        <v>2325.0</v>
      </c>
      <c r="AR22" s="52" t="s">
        <v>47</v>
      </c>
      <c r="AS22" s="69">
        <v>45667.0</v>
      </c>
      <c r="AT22" s="70">
        <v>45985.0</v>
      </c>
      <c r="AU22" s="69">
        <v>45667.0</v>
      </c>
      <c r="AV22" s="70">
        <v>45985.0</v>
      </c>
      <c r="AW22" s="52" t="s">
        <v>1483</v>
      </c>
      <c r="AX22" s="52" t="s">
        <v>587</v>
      </c>
      <c r="AY22" s="52">
        <v>318.0</v>
      </c>
      <c r="AZ22" s="73" t="s">
        <v>2165</v>
      </c>
      <c r="BA22" s="73" t="s">
        <v>2166</v>
      </c>
      <c r="BB22" s="69">
        <v>45667.0</v>
      </c>
      <c r="BC22" s="52" t="s">
        <v>140</v>
      </c>
      <c r="BD22" s="52">
        <v>8.0850931E7</v>
      </c>
      <c r="BE22" s="52" t="s">
        <v>2167</v>
      </c>
      <c r="BF22" s="52" t="s">
        <v>41</v>
      </c>
      <c r="BG22" s="52" t="s">
        <v>1475</v>
      </c>
      <c r="BH22" s="52" t="s">
        <v>135</v>
      </c>
      <c r="BI22" s="52" t="s">
        <v>2027</v>
      </c>
      <c r="BK22" s="52" t="s">
        <v>2010</v>
      </c>
    </row>
    <row r="23">
      <c r="A23" s="52">
        <v>18.0</v>
      </c>
      <c r="B23" s="52" t="s">
        <v>142</v>
      </c>
      <c r="C23" s="52" t="s">
        <v>2005</v>
      </c>
      <c r="D23" s="52">
        <v>5.2215231E7</v>
      </c>
      <c r="E23" s="52" t="s">
        <v>1908</v>
      </c>
      <c r="F23" s="69">
        <v>45667.0</v>
      </c>
      <c r="G23" s="52" t="s">
        <v>2168</v>
      </c>
      <c r="H23" s="52" t="s">
        <v>2028</v>
      </c>
      <c r="I23" s="52" t="s">
        <v>2028</v>
      </c>
      <c r="J23" s="52" t="s">
        <v>1478</v>
      </c>
      <c r="K23" s="52" t="s">
        <v>2029</v>
      </c>
      <c r="L23" s="52" t="s">
        <v>2010</v>
      </c>
      <c r="N23" s="52" t="s">
        <v>2010</v>
      </c>
      <c r="O23" s="69">
        <v>45666.0</v>
      </c>
      <c r="P23" s="52">
        <v>2.0251110001683E13</v>
      </c>
      <c r="Q23" s="52" t="s">
        <v>2029</v>
      </c>
      <c r="R23" s="69">
        <v>45666.0</v>
      </c>
      <c r="S23" s="52" t="s">
        <v>2169</v>
      </c>
      <c r="T23" s="52" t="s">
        <v>2013</v>
      </c>
      <c r="U23" s="52" t="s">
        <v>2170</v>
      </c>
      <c r="V23" s="52" t="s">
        <v>581</v>
      </c>
      <c r="W23" s="52" t="s">
        <v>1471</v>
      </c>
      <c r="X23" s="52" t="s">
        <v>583</v>
      </c>
      <c r="Y23" s="52" t="s">
        <v>143</v>
      </c>
      <c r="Z23" s="52" t="s">
        <v>2015</v>
      </c>
      <c r="AA23" s="52" t="s">
        <v>2016</v>
      </c>
      <c r="AB23" s="52" t="s">
        <v>2032</v>
      </c>
      <c r="AC23" s="52" t="s">
        <v>2018</v>
      </c>
      <c r="AD23" s="52" t="s">
        <v>587</v>
      </c>
      <c r="AE23" s="52" t="s">
        <v>2145</v>
      </c>
      <c r="AF23" s="70">
        <v>28036.0</v>
      </c>
      <c r="AG23" s="52">
        <v>49.0</v>
      </c>
      <c r="AH23" s="52" t="s">
        <v>1479</v>
      </c>
      <c r="AI23" s="52" t="s">
        <v>2171</v>
      </c>
      <c r="AJ23" s="52" t="s">
        <v>2172</v>
      </c>
      <c r="AK23" s="52" t="s">
        <v>2022</v>
      </c>
      <c r="AL23" s="52" t="s">
        <v>2173</v>
      </c>
      <c r="AM23" s="52" t="s">
        <v>587</v>
      </c>
      <c r="AN23" s="52" t="s">
        <v>2173</v>
      </c>
      <c r="AO23" s="52" t="s">
        <v>1483</v>
      </c>
      <c r="AP23" s="52">
        <v>3725.0</v>
      </c>
      <c r="AQ23" s="52">
        <v>4025.0</v>
      </c>
      <c r="AR23" s="52" t="s">
        <v>145</v>
      </c>
      <c r="AS23" s="69">
        <v>45667.0</v>
      </c>
      <c r="AT23" s="69">
        <v>45790.0</v>
      </c>
      <c r="AU23" s="69">
        <v>45671.0</v>
      </c>
      <c r="AV23" s="69">
        <v>45790.0</v>
      </c>
      <c r="AW23" s="52" t="s">
        <v>1483</v>
      </c>
      <c r="AX23" s="52" t="s">
        <v>587</v>
      </c>
      <c r="AY23" s="52">
        <v>119.0</v>
      </c>
      <c r="AZ23" s="73" t="s">
        <v>2174</v>
      </c>
      <c r="BA23" s="73" t="s">
        <v>2175</v>
      </c>
      <c r="BB23" s="69">
        <v>45671.0</v>
      </c>
      <c r="BC23" s="52" t="s">
        <v>146</v>
      </c>
      <c r="BD23" s="52">
        <v>5.2985556E7</v>
      </c>
      <c r="BE23" s="52" t="s">
        <v>2176</v>
      </c>
      <c r="BF23" s="52" t="s">
        <v>147</v>
      </c>
      <c r="BG23" s="52" t="s">
        <v>2041</v>
      </c>
      <c r="BH23" s="52" t="s">
        <v>141</v>
      </c>
      <c r="BI23" s="52" t="s">
        <v>2027</v>
      </c>
      <c r="BK23" s="52" t="s">
        <v>2010</v>
      </c>
    </row>
    <row r="24">
      <c r="A24" s="52">
        <v>19.0</v>
      </c>
      <c r="B24" s="52" t="s">
        <v>149</v>
      </c>
      <c r="C24" s="52" t="s">
        <v>2005</v>
      </c>
      <c r="D24" s="52">
        <v>1.033684312E9</v>
      </c>
      <c r="E24" s="52" t="s">
        <v>1908</v>
      </c>
      <c r="F24" s="69">
        <v>45667.0</v>
      </c>
      <c r="G24" s="52" t="s">
        <v>151</v>
      </c>
      <c r="H24" s="52" t="s">
        <v>2177</v>
      </c>
      <c r="I24" s="52" t="s">
        <v>2177</v>
      </c>
      <c r="J24" s="52" t="s">
        <v>1478</v>
      </c>
      <c r="K24" s="52" t="s">
        <v>2029</v>
      </c>
      <c r="L24" s="52" t="s">
        <v>2010</v>
      </c>
      <c r="N24" s="52" t="s">
        <v>2010</v>
      </c>
      <c r="O24" s="69">
        <v>45666.0</v>
      </c>
      <c r="P24" s="52">
        <v>2.0251700001963E13</v>
      </c>
      <c r="Q24" s="52" t="s">
        <v>2029</v>
      </c>
      <c r="R24" s="69">
        <v>45666.0</v>
      </c>
      <c r="S24" s="52" t="s">
        <v>2178</v>
      </c>
      <c r="T24" s="52" t="s">
        <v>2013</v>
      </c>
      <c r="U24" s="52" t="s">
        <v>2179</v>
      </c>
      <c r="V24" s="52" t="s">
        <v>581</v>
      </c>
      <c r="W24" s="52" t="s">
        <v>1471</v>
      </c>
      <c r="X24" s="52" t="s">
        <v>583</v>
      </c>
      <c r="Y24" s="52" t="s">
        <v>150</v>
      </c>
      <c r="Z24" s="52" t="s">
        <v>2015</v>
      </c>
      <c r="AA24" s="52" t="s">
        <v>2016</v>
      </c>
      <c r="AB24" s="52" t="s">
        <v>2062</v>
      </c>
      <c r="AC24" s="52" t="s">
        <v>2033</v>
      </c>
      <c r="AD24" s="52" t="s">
        <v>587</v>
      </c>
      <c r="AE24" s="52" t="s">
        <v>2145</v>
      </c>
      <c r="AF24" s="69">
        <v>31811.0</v>
      </c>
      <c r="AG24" s="52">
        <v>38.0</v>
      </c>
      <c r="AH24" s="52" t="s">
        <v>1521</v>
      </c>
      <c r="AI24" s="52" t="s">
        <v>2180</v>
      </c>
      <c r="AJ24" s="52" t="s">
        <v>2181</v>
      </c>
      <c r="AK24" s="52" t="s">
        <v>2022</v>
      </c>
      <c r="AL24" s="52" t="s">
        <v>1522</v>
      </c>
      <c r="AM24" s="52" t="s">
        <v>587</v>
      </c>
      <c r="AN24" s="52" t="s">
        <v>1522</v>
      </c>
      <c r="AO24" s="52" t="s">
        <v>1483</v>
      </c>
      <c r="AP24" s="52">
        <v>3825.0</v>
      </c>
      <c r="AQ24" s="52">
        <v>3425.0</v>
      </c>
      <c r="AR24" s="52" t="s">
        <v>152</v>
      </c>
      <c r="AS24" s="69">
        <v>45668.0</v>
      </c>
      <c r="AT24" s="70">
        <v>46022.0</v>
      </c>
      <c r="AU24" s="69">
        <v>45670.0</v>
      </c>
      <c r="AV24" s="70">
        <v>46022.0</v>
      </c>
      <c r="AW24" s="52" t="s">
        <v>1483</v>
      </c>
      <c r="AX24" s="52" t="s">
        <v>587</v>
      </c>
      <c r="AY24" s="52">
        <v>352.0</v>
      </c>
      <c r="AZ24" s="73" t="s">
        <v>2182</v>
      </c>
      <c r="BA24" s="73" t="s">
        <v>2183</v>
      </c>
      <c r="BB24" s="69">
        <v>45670.0</v>
      </c>
      <c r="BC24" s="52" t="s">
        <v>153</v>
      </c>
      <c r="BD24" s="52">
        <v>1.144026791E9</v>
      </c>
      <c r="BE24" s="52" t="s">
        <v>2184</v>
      </c>
      <c r="BF24" s="52" t="s">
        <v>154</v>
      </c>
      <c r="BG24" s="52" t="s">
        <v>2041</v>
      </c>
      <c r="BH24" s="52" t="s">
        <v>148</v>
      </c>
      <c r="BI24" s="52" t="s">
        <v>2027</v>
      </c>
      <c r="BK24" s="52" t="s">
        <v>2010</v>
      </c>
    </row>
    <row r="25">
      <c r="A25" s="52">
        <v>20.0</v>
      </c>
      <c r="B25" s="52" t="s">
        <v>156</v>
      </c>
      <c r="C25" s="52" t="s">
        <v>2005</v>
      </c>
      <c r="D25" s="52">
        <v>8.0076408E7</v>
      </c>
      <c r="E25" s="52" t="s">
        <v>1908</v>
      </c>
      <c r="F25" s="69">
        <v>45667.0</v>
      </c>
      <c r="G25" s="52" t="s">
        <v>158</v>
      </c>
      <c r="H25" s="52" t="s">
        <v>2121</v>
      </c>
      <c r="I25" s="52" t="s">
        <v>2121</v>
      </c>
      <c r="J25" s="52" t="s">
        <v>1478</v>
      </c>
      <c r="K25" s="52" t="s">
        <v>2009</v>
      </c>
      <c r="L25" s="52" t="s">
        <v>2010</v>
      </c>
      <c r="N25" s="52" t="s">
        <v>2010</v>
      </c>
      <c r="O25" s="69">
        <v>45666.0</v>
      </c>
      <c r="P25" s="52">
        <v>2.0251400002183E13</v>
      </c>
      <c r="Q25" s="52" t="s">
        <v>2009</v>
      </c>
      <c r="R25" s="69">
        <v>45666.0</v>
      </c>
      <c r="S25" s="52" t="s">
        <v>2185</v>
      </c>
      <c r="T25" s="52" t="s">
        <v>2013</v>
      </c>
      <c r="U25" s="52" t="s">
        <v>2186</v>
      </c>
      <c r="V25" s="52" t="s">
        <v>581</v>
      </c>
      <c r="W25" s="52" t="s">
        <v>1471</v>
      </c>
      <c r="X25" s="52" t="s">
        <v>583</v>
      </c>
      <c r="Y25" s="52" t="s">
        <v>157</v>
      </c>
      <c r="Z25" s="52" t="s">
        <v>2081</v>
      </c>
      <c r="AA25" s="52" t="s">
        <v>2016</v>
      </c>
      <c r="AB25" s="52" t="s">
        <v>2062</v>
      </c>
      <c r="AC25" s="52" t="s">
        <v>2063</v>
      </c>
      <c r="AD25" s="52" t="s">
        <v>587</v>
      </c>
      <c r="AE25" s="52" t="s">
        <v>2145</v>
      </c>
      <c r="AF25" s="70">
        <v>31397.0</v>
      </c>
      <c r="AG25" s="52">
        <v>40.0</v>
      </c>
      <c r="AH25" s="52" t="s">
        <v>1573</v>
      </c>
      <c r="AI25" s="52" t="s">
        <v>2187</v>
      </c>
      <c r="AJ25" s="52" t="s">
        <v>2188</v>
      </c>
      <c r="AK25" s="52" t="s">
        <v>2022</v>
      </c>
      <c r="AL25" s="52" t="s">
        <v>2189</v>
      </c>
      <c r="AM25" s="52" t="s">
        <v>587</v>
      </c>
      <c r="AN25" s="52" t="s">
        <v>2189</v>
      </c>
      <c r="AO25" s="52" t="s">
        <v>1483</v>
      </c>
      <c r="AP25" s="52">
        <v>2525.0</v>
      </c>
      <c r="AQ25" s="52">
        <v>3525.0</v>
      </c>
      <c r="AR25" s="52" t="s">
        <v>111</v>
      </c>
      <c r="AS25" s="69">
        <v>45670.0</v>
      </c>
      <c r="AT25" s="69">
        <v>45728.0</v>
      </c>
      <c r="AU25" s="69">
        <v>45670.0</v>
      </c>
      <c r="AV25" s="69">
        <v>45729.0</v>
      </c>
      <c r="AW25" s="52" t="s">
        <v>1483</v>
      </c>
      <c r="AX25" s="52" t="s">
        <v>587</v>
      </c>
      <c r="AY25" s="52">
        <v>59.0</v>
      </c>
      <c r="AZ25" s="73" t="s">
        <v>2190</v>
      </c>
      <c r="BA25" s="73" t="s">
        <v>2191</v>
      </c>
      <c r="BB25" s="69">
        <v>45670.0</v>
      </c>
      <c r="BC25" s="52" t="s">
        <v>112</v>
      </c>
      <c r="BD25" s="52">
        <v>5.2528698E7</v>
      </c>
      <c r="BE25" s="52" t="s">
        <v>2129</v>
      </c>
      <c r="BF25" s="52" t="s">
        <v>113</v>
      </c>
      <c r="BG25" s="52" t="s">
        <v>2041</v>
      </c>
      <c r="BH25" s="52" t="s">
        <v>155</v>
      </c>
      <c r="BI25" s="52" t="s">
        <v>2027</v>
      </c>
      <c r="BK25" s="52" t="s">
        <v>2010</v>
      </c>
    </row>
    <row r="26">
      <c r="A26" s="52">
        <v>21.0</v>
      </c>
      <c r="B26" s="52" t="s">
        <v>160</v>
      </c>
      <c r="C26" s="52" t="s">
        <v>2005</v>
      </c>
      <c r="D26" s="52">
        <v>1.018456896E9</v>
      </c>
      <c r="E26" s="52" t="s">
        <v>1908</v>
      </c>
      <c r="F26" s="69">
        <v>45666.0</v>
      </c>
      <c r="G26" s="52" t="s">
        <v>162</v>
      </c>
      <c r="H26" s="52" t="s">
        <v>2008</v>
      </c>
      <c r="I26" s="52" t="s">
        <v>2008</v>
      </c>
      <c r="J26" s="52" t="s">
        <v>1470</v>
      </c>
      <c r="K26" s="52" t="s">
        <v>2098</v>
      </c>
      <c r="L26" s="52" t="s">
        <v>2010</v>
      </c>
      <c r="N26" s="52" t="s">
        <v>2010</v>
      </c>
      <c r="O26" s="69">
        <v>45666.0</v>
      </c>
      <c r="P26" s="52">
        <v>2.0251610001923E13</v>
      </c>
      <c r="Q26" s="52" t="s">
        <v>2098</v>
      </c>
      <c r="R26" s="69">
        <v>45666.0</v>
      </c>
      <c r="S26" s="52" t="s">
        <v>2192</v>
      </c>
      <c r="T26" s="52" t="s">
        <v>2013</v>
      </c>
      <c r="U26" s="52" t="s">
        <v>2193</v>
      </c>
      <c r="V26" s="52" t="s">
        <v>581</v>
      </c>
      <c r="W26" s="52" t="s">
        <v>1471</v>
      </c>
      <c r="X26" s="52" t="s">
        <v>583</v>
      </c>
      <c r="Y26" s="52" t="s">
        <v>161</v>
      </c>
      <c r="Z26" s="52" t="s">
        <v>2015</v>
      </c>
      <c r="AA26" s="52" t="s">
        <v>2016</v>
      </c>
      <c r="AD26" s="52" t="s">
        <v>587</v>
      </c>
      <c r="AE26" s="52" t="s">
        <v>2194</v>
      </c>
      <c r="AF26" s="69">
        <v>33990.0</v>
      </c>
      <c r="AG26" s="52">
        <v>32.0</v>
      </c>
      <c r="AH26" s="52" t="s">
        <v>1521</v>
      </c>
      <c r="AI26" s="52" t="s">
        <v>2195</v>
      </c>
      <c r="AJ26" s="52" t="s">
        <v>2196</v>
      </c>
      <c r="AK26" s="52" t="s">
        <v>2022</v>
      </c>
      <c r="AL26" s="52" t="s">
        <v>1523</v>
      </c>
      <c r="AM26" s="52" t="s">
        <v>1524</v>
      </c>
      <c r="AN26" s="52" t="s">
        <v>1525</v>
      </c>
      <c r="AO26" s="52" t="s">
        <v>1483</v>
      </c>
      <c r="AP26" s="52">
        <v>2825.0</v>
      </c>
      <c r="AQ26" s="52">
        <v>2425.0</v>
      </c>
      <c r="AR26" s="52" t="s">
        <v>163</v>
      </c>
      <c r="AS26" s="69">
        <v>45667.0</v>
      </c>
      <c r="AT26" s="70">
        <v>46000.0</v>
      </c>
      <c r="AU26" s="69">
        <v>45667.0</v>
      </c>
      <c r="AV26" s="70">
        <v>46000.0</v>
      </c>
      <c r="AW26" s="52" t="s">
        <v>1483</v>
      </c>
      <c r="AX26" s="52" t="s">
        <v>587</v>
      </c>
      <c r="AY26" s="52">
        <v>333.0</v>
      </c>
      <c r="AZ26" s="73" t="s">
        <v>2197</v>
      </c>
      <c r="BA26" s="73" t="s">
        <v>2198</v>
      </c>
      <c r="BB26" s="69">
        <v>45667.0</v>
      </c>
      <c r="BC26" s="52" t="s">
        <v>164</v>
      </c>
      <c r="BD26" s="52">
        <v>1.119667829E9</v>
      </c>
      <c r="BE26" s="52" t="s">
        <v>2199</v>
      </c>
      <c r="BF26" s="52" t="s">
        <v>165</v>
      </c>
      <c r="BG26" s="52" t="s">
        <v>2041</v>
      </c>
      <c r="BH26" s="52" t="s">
        <v>159</v>
      </c>
      <c r="BI26" s="52" t="s">
        <v>2027</v>
      </c>
      <c r="BK26" s="52" t="s">
        <v>2010</v>
      </c>
    </row>
    <row r="27">
      <c r="A27" s="52">
        <v>22.0</v>
      </c>
      <c r="B27" s="52" t="s">
        <v>167</v>
      </c>
      <c r="C27" s="52" t="s">
        <v>2005</v>
      </c>
      <c r="D27" s="52">
        <v>1.026586964E9</v>
      </c>
      <c r="E27" s="52" t="s">
        <v>1908</v>
      </c>
      <c r="F27" s="69">
        <v>45666.0</v>
      </c>
      <c r="G27" s="52" t="s">
        <v>169</v>
      </c>
      <c r="H27" s="52" t="s">
        <v>2008</v>
      </c>
      <c r="I27" s="52" t="s">
        <v>2008</v>
      </c>
      <c r="J27" s="52" t="s">
        <v>1470</v>
      </c>
      <c r="K27" s="52" t="s">
        <v>2098</v>
      </c>
      <c r="L27" s="52" t="s">
        <v>2010</v>
      </c>
      <c r="N27" s="52" t="s">
        <v>2010</v>
      </c>
      <c r="O27" s="69">
        <v>45666.0</v>
      </c>
      <c r="P27" s="52">
        <v>2.0251610001953E13</v>
      </c>
      <c r="Q27" s="52" t="s">
        <v>2098</v>
      </c>
      <c r="R27" s="69">
        <v>45666.0</v>
      </c>
      <c r="S27" s="52" t="s">
        <v>2200</v>
      </c>
      <c r="T27" s="52" t="s">
        <v>2013</v>
      </c>
      <c r="U27" s="52" t="s">
        <v>2201</v>
      </c>
      <c r="V27" s="52" t="s">
        <v>581</v>
      </c>
      <c r="W27" s="52" t="s">
        <v>1471</v>
      </c>
      <c r="X27" s="52" t="s">
        <v>583</v>
      </c>
      <c r="Y27" s="52" t="s">
        <v>168</v>
      </c>
      <c r="Z27" s="52" t="s">
        <v>2081</v>
      </c>
      <c r="AA27" s="52" t="s">
        <v>2016</v>
      </c>
      <c r="AB27" s="52" t="s">
        <v>2032</v>
      </c>
      <c r="AC27" s="52" t="s">
        <v>2018</v>
      </c>
      <c r="AD27" s="52" t="s">
        <v>587</v>
      </c>
      <c r="AE27" s="52" t="s">
        <v>2093</v>
      </c>
      <c r="AF27" s="69">
        <v>35082.0</v>
      </c>
      <c r="AG27" s="52">
        <v>29.0</v>
      </c>
      <c r="AH27" s="52" t="s">
        <v>1526</v>
      </c>
      <c r="AI27" s="52" t="s">
        <v>2202</v>
      </c>
      <c r="AJ27" s="52" t="s">
        <v>2203</v>
      </c>
      <c r="AK27" s="52" t="s">
        <v>2022</v>
      </c>
      <c r="AL27" s="52" t="s">
        <v>1527</v>
      </c>
      <c r="AM27" s="52" t="s">
        <v>587</v>
      </c>
      <c r="AN27" s="52" t="s">
        <v>1527</v>
      </c>
      <c r="AO27" s="52" t="s">
        <v>1483</v>
      </c>
      <c r="AP27" s="52">
        <v>3425.0</v>
      </c>
      <c r="AQ27" s="52">
        <v>2625.0</v>
      </c>
      <c r="AR27" s="52" t="s">
        <v>91</v>
      </c>
      <c r="AS27" s="69">
        <v>45667.0</v>
      </c>
      <c r="AT27" s="70">
        <v>46000.0</v>
      </c>
      <c r="AU27" s="69">
        <v>45667.0</v>
      </c>
      <c r="AV27" s="70">
        <v>46000.0</v>
      </c>
      <c r="AW27" s="52" t="s">
        <v>1483</v>
      </c>
      <c r="AX27" s="52" t="s">
        <v>587</v>
      </c>
      <c r="AY27" s="52">
        <v>333.0</v>
      </c>
      <c r="AZ27" s="73" t="s">
        <v>2204</v>
      </c>
      <c r="BA27" s="73" t="s">
        <v>2205</v>
      </c>
    </row>
    <row r="28">
      <c r="B28" s="69">
        <v>45667.0</v>
      </c>
      <c r="C28" s="52" t="s">
        <v>170</v>
      </c>
      <c r="D28" s="69">
        <v>1.3923899E7</v>
      </c>
      <c r="E28" s="52" t="s">
        <v>2206</v>
      </c>
      <c r="F28" s="52" t="s">
        <v>93</v>
      </c>
      <c r="G28" s="52" t="s">
        <v>2041</v>
      </c>
      <c r="H28" s="52" t="s">
        <v>166</v>
      </c>
      <c r="I28" s="52" t="s">
        <v>2027</v>
      </c>
      <c r="K28" s="52" t="s">
        <v>2010</v>
      </c>
    </row>
    <row r="29">
      <c r="A29" s="52">
        <v>23.0</v>
      </c>
      <c r="B29" s="52" t="s">
        <v>172</v>
      </c>
      <c r="C29" s="52" t="s">
        <v>2005</v>
      </c>
      <c r="D29" s="52">
        <v>1.014288171E9</v>
      </c>
      <c r="E29" s="52" t="s">
        <v>1908</v>
      </c>
      <c r="F29" s="69">
        <v>45666.0</v>
      </c>
      <c r="G29" s="52" t="s">
        <v>174</v>
      </c>
      <c r="H29" s="52" t="s">
        <v>2008</v>
      </c>
      <c r="I29" s="52" t="s">
        <v>2008</v>
      </c>
      <c r="J29" s="52" t="s">
        <v>1470</v>
      </c>
      <c r="K29" s="52" t="s">
        <v>2098</v>
      </c>
      <c r="L29" s="52" t="s">
        <v>2010</v>
      </c>
      <c r="N29" s="52" t="s">
        <v>2010</v>
      </c>
      <c r="O29" s="69">
        <v>45666.0</v>
      </c>
      <c r="P29" s="52">
        <v>2.0251610001973E13</v>
      </c>
      <c r="Q29" s="52" t="s">
        <v>2098</v>
      </c>
      <c r="R29" s="69">
        <v>45666.0</v>
      </c>
      <c r="S29" s="52" t="s">
        <v>2207</v>
      </c>
      <c r="T29" s="52" t="s">
        <v>2013</v>
      </c>
      <c r="V29" s="52" t="s">
        <v>581</v>
      </c>
      <c r="W29" s="52" t="s">
        <v>1471</v>
      </c>
      <c r="X29" s="52" t="s">
        <v>583</v>
      </c>
      <c r="Y29" s="52" t="s">
        <v>173</v>
      </c>
      <c r="Z29" s="52" t="s">
        <v>2015</v>
      </c>
      <c r="AA29" s="52" t="s">
        <v>2016</v>
      </c>
      <c r="AB29" s="52" t="s">
        <v>2062</v>
      </c>
      <c r="AC29" s="52" t="s">
        <v>2033</v>
      </c>
      <c r="AD29" s="52" t="s">
        <v>587</v>
      </c>
      <c r="AE29" s="52" t="s">
        <v>2093</v>
      </c>
      <c r="AF29" s="69">
        <v>35553.0</v>
      </c>
      <c r="AG29" s="52">
        <v>28.0</v>
      </c>
      <c r="AH29" s="52" t="s">
        <v>1479</v>
      </c>
      <c r="AI29" s="52" t="s">
        <v>2208</v>
      </c>
      <c r="AJ29" s="52" t="s">
        <v>2209</v>
      </c>
      <c r="AK29" s="52" t="s">
        <v>2022</v>
      </c>
      <c r="AL29" s="52" t="s">
        <v>1506</v>
      </c>
      <c r="AM29" s="52" t="s">
        <v>587</v>
      </c>
      <c r="AN29" s="52" t="s">
        <v>1506</v>
      </c>
      <c r="AO29" s="52" t="s">
        <v>1483</v>
      </c>
      <c r="AP29" s="52">
        <v>4025.0</v>
      </c>
      <c r="AQ29" s="52">
        <v>2725.0</v>
      </c>
      <c r="AR29" s="52" t="s">
        <v>38</v>
      </c>
      <c r="AS29" s="69">
        <v>45667.0</v>
      </c>
      <c r="AT29" s="70">
        <v>45651.0</v>
      </c>
      <c r="AU29" s="69">
        <v>45667.0</v>
      </c>
      <c r="AV29" s="70">
        <v>46016.0</v>
      </c>
      <c r="AW29" s="52" t="s">
        <v>1483</v>
      </c>
      <c r="AX29" s="52" t="s">
        <v>587</v>
      </c>
      <c r="AY29" s="52">
        <v>349.0</v>
      </c>
      <c r="AZ29" s="73" t="s">
        <v>2210</v>
      </c>
      <c r="BA29" s="73" t="s">
        <v>2211</v>
      </c>
      <c r="BB29" s="69">
        <v>45667.0</v>
      </c>
      <c r="BC29" s="52" t="s">
        <v>175</v>
      </c>
      <c r="BD29" s="52">
        <v>1.016024615E9</v>
      </c>
      <c r="BE29" s="52" t="s">
        <v>2212</v>
      </c>
      <c r="BF29" s="52" t="s">
        <v>176</v>
      </c>
      <c r="BG29" s="52" t="s">
        <v>2041</v>
      </c>
      <c r="BH29" s="52" t="s">
        <v>171</v>
      </c>
      <c r="BI29" s="52" t="s">
        <v>2027</v>
      </c>
      <c r="BK29" s="52" t="s">
        <v>2010</v>
      </c>
    </row>
    <row r="30">
      <c r="A30" s="52">
        <v>24.0</v>
      </c>
      <c r="B30" s="52" t="s">
        <v>178</v>
      </c>
      <c r="C30" s="52" t="s">
        <v>2005</v>
      </c>
      <c r="D30" s="52">
        <v>5.3040784E7</v>
      </c>
      <c r="E30" s="52" t="s">
        <v>1908</v>
      </c>
      <c r="F30" s="69">
        <v>45666.0</v>
      </c>
      <c r="G30" s="52" t="s">
        <v>180</v>
      </c>
      <c r="H30" s="52" t="s">
        <v>2042</v>
      </c>
      <c r="I30" s="52" t="s">
        <v>2042</v>
      </c>
      <c r="J30" s="52" t="s">
        <v>1478</v>
      </c>
      <c r="K30" s="52" t="s">
        <v>2051</v>
      </c>
      <c r="L30" s="52" t="s">
        <v>2010</v>
      </c>
      <c r="N30" s="52" t="s">
        <v>2010</v>
      </c>
      <c r="O30" s="69">
        <v>45666.0</v>
      </c>
      <c r="P30" s="52">
        <v>2.0251520001933E13</v>
      </c>
      <c r="Q30" s="52" t="s">
        <v>2213</v>
      </c>
      <c r="R30" s="69">
        <v>45666.0</v>
      </c>
      <c r="S30" s="52" t="s">
        <v>2214</v>
      </c>
      <c r="T30" s="52" t="s">
        <v>2013</v>
      </c>
      <c r="U30" s="52" t="s">
        <v>2215</v>
      </c>
      <c r="V30" s="52" t="s">
        <v>581</v>
      </c>
      <c r="W30" s="52" t="s">
        <v>1471</v>
      </c>
      <c r="X30" s="52" t="s">
        <v>583</v>
      </c>
      <c r="Y30" s="52" t="s">
        <v>1529</v>
      </c>
      <c r="Z30" s="52" t="s">
        <v>2015</v>
      </c>
      <c r="AA30" s="52" t="s">
        <v>2016</v>
      </c>
      <c r="AB30" s="52" t="s">
        <v>2062</v>
      </c>
      <c r="AC30" s="52" t="s">
        <v>2114</v>
      </c>
      <c r="AD30" s="52" t="s">
        <v>587</v>
      </c>
      <c r="AE30" s="52" t="s">
        <v>2093</v>
      </c>
      <c r="AF30" s="69">
        <v>31215.0</v>
      </c>
      <c r="AG30" s="52">
        <v>40.0</v>
      </c>
      <c r="AH30" s="52" t="s">
        <v>1528</v>
      </c>
      <c r="AI30" s="52" t="s">
        <v>2216</v>
      </c>
      <c r="AJ30" s="52" t="s">
        <v>2217</v>
      </c>
      <c r="AK30" s="52" t="s">
        <v>2022</v>
      </c>
      <c r="AL30" s="52" t="s">
        <v>1530</v>
      </c>
      <c r="AM30" s="52" t="s">
        <v>587</v>
      </c>
      <c r="AN30" s="52" t="s">
        <v>1530</v>
      </c>
      <c r="AO30" s="52" t="s">
        <v>1483</v>
      </c>
      <c r="AP30" s="52">
        <v>3125.0</v>
      </c>
      <c r="AQ30" s="52">
        <v>3025.0</v>
      </c>
      <c r="AR30" s="52" t="s">
        <v>53</v>
      </c>
      <c r="AS30" s="69">
        <v>45667.0</v>
      </c>
      <c r="AT30" s="70">
        <v>45651.0</v>
      </c>
      <c r="AU30" s="69">
        <v>45667.0</v>
      </c>
      <c r="AV30" s="70">
        <v>46016.0</v>
      </c>
      <c r="AW30" s="52" t="s">
        <v>1483</v>
      </c>
      <c r="AX30" s="52" t="s">
        <v>587</v>
      </c>
      <c r="AY30" s="52">
        <v>349.0</v>
      </c>
      <c r="AZ30" s="73" t="s">
        <v>2218</v>
      </c>
      <c r="BA30" s="73" t="s">
        <v>2219</v>
      </c>
    </row>
    <row r="31">
      <c r="B31" s="69">
        <v>45667.0</v>
      </c>
      <c r="C31" s="52" t="s">
        <v>181</v>
      </c>
      <c r="D31" s="52">
        <v>5.306585E7</v>
      </c>
      <c r="E31" s="52" t="s">
        <v>2220</v>
      </c>
      <c r="F31" s="52" t="s">
        <v>182</v>
      </c>
      <c r="G31" s="52" t="s">
        <v>2041</v>
      </c>
      <c r="H31" s="52" t="s">
        <v>177</v>
      </c>
      <c r="I31" s="52" t="s">
        <v>2027</v>
      </c>
      <c r="K31" s="52" t="s">
        <v>2010</v>
      </c>
    </row>
    <row r="32">
      <c r="A32" s="52">
        <v>25.0</v>
      </c>
      <c r="B32" s="52" t="s">
        <v>184</v>
      </c>
      <c r="C32" s="52" t="s">
        <v>2005</v>
      </c>
      <c r="D32" s="52">
        <v>1.024471867E9</v>
      </c>
      <c r="E32" s="52" t="s">
        <v>1908</v>
      </c>
      <c r="F32" s="69">
        <v>45666.0</v>
      </c>
      <c r="G32" s="52" t="s">
        <v>186</v>
      </c>
      <c r="H32" s="52" t="s">
        <v>2042</v>
      </c>
      <c r="I32" s="52" t="s">
        <v>2042</v>
      </c>
      <c r="J32" s="52" t="s">
        <v>1478</v>
      </c>
      <c r="K32" s="52" t="s">
        <v>2051</v>
      </c>
      <c r="L32" s="52" t="s">
        <v>2010</v>
      </c>
      <c r="N32" s="52" t="s">
        <v>2010</v>
      </c>
      <c r="O32" s="69">
        <v>45666.0</v>
      </c>
      <c r="P32" s="52">
        <v>2.0251520001943E13</v>
      </c>
      <c r="Q32" s="52" t="s">
        <v>2213</v>
      </c>
      <c r="R32" s="69">
        <v>45666.0</v>
      </c>
      <c r="S32" s="52" t="s">
        <v>2221</v>
      </c>
      <c r="T32" s="52" t="s">
        <v>2013</v>
      </c>
      <c r="V32" s="52" t="s">
        <v>581</v>
      </c>
      <c r="W32" s="52" t="s">
        <v>1471</v>
      </c>
      <c r="X32" s="52" t="s">
        <v>583</v>
      </c>
      <c r="Y32" s="52" t="s">
        <v>185</v>
      </c>
      <c r="Z32" s="52" t="s">
        <v>2015</v>
      </c>
      <c r="AA32" s="52" t="s">
        <v>2016</v>
      </c>
      <c r="AB32" s="52" t="s">
        <v>2032</v>
      </c>
      <c r="AC32" s="52" t="s">
        <v>2033</v>
      </c>
      <c r="AD32" s="52" t="s">
        <v>587</v>
      </c>
      <c r="AE32" s="52" t="s">
        <v>2093</v>
      </c>
      <c r="AF32" s="70">
        <v>31761.0</v>
      </c>
      <c r="AG32" s="52">
        <v>39.0</v>
      </c>
      <c r="AH32" s="52" t="s">
        <v>1504</v>
      </c>
      <c r="AI32" s="52" t="s">
        <v>2222</v>
      </c>
      <c r="AJ32" s="52" t="s">
        <v>2223</v>
      </c>
      <c r="AK32" s="52" t="s">
        <v>2022</v>
      </c>
      <c r="AL32" s="52" t="s">
        <v>1530</v>
      </c>
      <c r="AM32" s="52" t="s">
        <v>587</v>
      </c>
      <c r="AN32" s="52" t="s">
        <v>1530</v>
      </c>
      <c r="AO32" s="52" t="s">
        <v>1483</v>
      </c>
      <c r="AP32" s="52">
        <v>3025.0</v>
      </c>
      <c r="AQ32" s="52">
        <v>2825.0</v>
      </c>
      <c r="AR32" s="52" t="s">
        <v>53</v>
      </c>
      <c r="AS32" s="69">
        <v>45667.0</v>
      </c>
      <c r="AT32" s="70">
        <v>45651.0</v>
      </c>
      <c r="AU32" s="69">
        <v>45667.0</v>
      </c>
      <c r="AV32" s="70">
        <v>46016.0</v>
      </c>
      <c r="AW32" s="52" t="s">
        <v>1483</v>
      </c>
      <c r="AX32" s="52" t="s">
        <v>587</v>
      </c>
      <c r="AY32" s="52">
        <v>349.0</v>
      </c>
      <c r="AZ32" s="73" t="s">
        <v>2224</v>
      </c>
      <c r="BA32" s="73" t="s">
        <v>2225</v>
      </c>
      <c r="BB32" s="69">
        <v>45667.0</v>
      </c>
      <c r="BC32" s="52" t="s">
        <v>181</v>
      </c>
      <c r="BD32" s="52">
        <v>5.306585E7</v>
      </c>
      <c r="BE32" s="52" t="s">
        <v>2220</v>
      </c>
      <c r="BF32" s="52" t="s">
        <v>182</v>
      </c>
      <c r="BG32" s="52" t="s">
        <v>2041</v>
      </c>
      <c r="BH32" s="52" t="s">
        <v>183</v>
      </c>
      <c r="BI32" s="52" t="s">
        <v>2027</v>
      </c>
      <c r="BK32" s="52" t="s">
        <v>2010</v>
      </c>
    </row>
    <row r="33">
      <c r="A33" s="52">
        <v>26.0</v>
      </c>
      <c r="B33" s="52" t="s">
        <v>200</v>
      </c>
      <c r="C33" s="52" t="s">
        <v>2005</v>
      </c>
      <c r="D33" s="52">
        <v>1.013617963E9</v>
      </c>
      <c r="E33" s="52" t="s">
        <v>1908</v>
      </c>
      <c r="F33" s="69">
        <v>45666.0</v>
      </c>
      <c r="G33" s="52" t="s">
        <v>202</v>
      </c>
      <c r="H33" s="52" t="s">
        <v>2143</v>
      </c>
      <c r="I33" s="52" t="s">
        <v>2143</v>
      </c>
      <c r="J33" s="52" t="s">
        <v>1478</v>
      </c>
      <c r="K33" s="52" t="s">
        <v>2029</v>
      </c>
      <c r="L33" s="52" t="s">
        <v>2010</v>
      </c>
      <c r="N33" s="52" t="s">
        <v>2010</v>
      </c>
      <c r="O33" s="69">
        <v>45666.0</v>
      </c>
      <c r="P33" s="52">
        <v>2.0251010001803E13</v>
      </c>
      <c r="Q33" s="52" t="s">
        <v>2029</v>
      </c>
      <c r="R33" s="69">
        <v>45666.0</v>
      </c>
      <c r="S33" s="52" t="s">
        <v>2226</v>
      </c>
      <c r="T33" s="52" t="s">
        <v>2013</v>
      </c>
      <c r="U33" s="52" t="s">
        <v>2227</v>
      </c>
      <c r="V33" s="52" t="s">
        <v>581</v>
      </c>
      <c r="W33" s="52" t="s">
        <v>1471</v>
      </c>
      <c r="X33" s="52" t="s">
        <v>583</v>
      </c>
      <c r="Y33" s="52" t="s">
        <v>1533</v>
      </c>
      <c r="Z33" s="52" t="s">
        <v>2015</v>
      </c>
      <c r="AA33" s="52" t="s">
        <v>2016</v>
      </c>
      <c r="AB33" s="52" t="s">
        <v>2228</v>
      </c>
      <c r="AC33" s="52" t="s">
        <v>2114</v>
      </c>
      <c r="AD33" s="52" t="s">
        <v>587</v>
      </c>
      <c r="AE33" s="52" t="s">
        <v>2093</v>
      </c>
      <c r="AF33" s="70">
        <v>33236.0</v>
      </c>
      <c r="AG33" s="52">
        <v>35.0</v>
      </c>
      <c r="AH33" s="52" t="s">
        <v>1532</v>
      </c>
      <c r="AI33" s="52" t="s">
        <v>2229</v>
      </c>
      <c r="AJ33" s="52" t="s">
        <v>2230</v>
      </c>
      <c r="AK33" s="52" t="s">
        <v>2022</v>
      </c>
      <c r="AL33" s="52" t="s">
        <v>1534</v>
      </c>
      <c r="AM33" s="52" t="s">
        <v>587</v>
      </c>
      <c r="AN33" s="52" t="s">
        <v>1534</v>
      </c>
      <c r="AO33" s="52" t="s">
        <v>1483</v>
      </c>
      <c r="AP33" s="52">
        <v>1025.0</v>
      </c>
      <c r="AQ33" s="52">
        <v>2925.0</v>
      </c>
      <c r="AR33" s="52" t="s">
        <v>203</v>
      </c>
      <c r="AS33" s="69">
        <v>45667.0</v>
      </c>
      <c r="AT33" s="70">
        <v>45651.0</v>
      </c>
      <c r="AU33" s="69">
        <v>45667.0</v>
      </c>
      <c r="AV33" s="70">
        <v>46016.0</v>
      </c>
      <c r="AW33" s="52" t="s">
        <v>1483</v>
      </c>
      <c r="AX33" s="52" t="s">
        <v>587</v>
      </c>
      <c r="AY33" s="52">
        <v>349.0</v>
      </c>
      <c r="AZ33" s="73" t="s">
        <v>2231</v>
      </c>
      <c r="BA33" s="73" t="s">
        <v>2232</v>
      </c>
    </row>
    <row r="34">
      <c r="B34" s="69">
        <v>45667.0</v>
      </c>
      <c r="C34" s="52" t="s">
        <v>127</v>
      </c>
      <c r="D34" s="52">
        <v>8.3169069E7</v>
      </c>
      <c r="E34" s="52" t="s">
        <v>2150</v>
      </c>
      <c r="F34" s="52" t="s">
        <v>205</v>
      </c>
      <c r="G34" s="52" t="s">
        <v>2041</v>
      </c>
      <c r="H34" s="52" t="s">
        <v>199</v>
      </c>
      <c r="I34" s="52" t="s">
        <v>2027</v>
      </c>
      <c r="K34" s="52" t="s">
        <v>2010</v>
      </c>
    </row>
    <row r="35">
      <c r="A35" s="52">
        <v>27.0</v>
      </c>
      <c r="B35" s="52" t="s">
        <v>207</v>
      </c>
      <c r="C35" s="52" t="s">
        <v>2005</v>
      </c>
      <c r="D35" s="52">
        <v>1.030634246E9</v>
      </c>
      <c r="E35" s="52" t="s">
        <v>1908</v>
      </c>
      <c r="F35" s="69">
        <v>45667.0</v>
      </c>
      <c r="G35" s="52" t="s">
        <v>209</v>
      </c>
      <c r="H35" s="52" t="s">
        <v>2143</v>
      </c>
      <c r="I35" s="52" t="s">
        <v>2143</v>
      </c>
      <c r="J35" s="52" t="s">
        <v>1470</v>
      </c>
      <c r="K35" s="52" t="s">
        <v>2029</v>
      </c>
      <c r="L35" s="52" t="s">
        <v>2010</v>
      </c>
      <c r="N35" s="52" t="s">
        <v>2010</v>
      </c>
      <c r="O35" s="69">
        <v>45666.0</v>
      </c>
      <c r="P35" s="52">
        <v>2.0251010001823E13</v>
      </c>
      <c r="Q35" s="52" t="s">
        <v>2029</v>
      </c>
      <c r="R35" s="69">
        <v>45666.0</v>
      </c>
      <c r="S35" s="52" t="s">
        <v>2233</v>
      </c>
      <c r="T35" s="52" t="s">
        <v>2013</v>
      </c>
      <c r="U35" s="52" t="s">
        <v>2234</v>
      </c>
      <c r="V35" s="52" t="s">
        <v>581</v>
      </c>
      <c r="W35" s="52" t="s">
        <v>1471</v>
      </c>
      <c r="X35" s="52" t="s">
        <v>583</v>
      </c>
      <c r="Y35" s="52" t="s">
        <v>208</v>
      </c>
      <c r="Z35" s="52" t="s">
        <v>2015</v>
      </c>
      <c r="AA35" s="52" t="s">
        <v>2016</v>
      </c>
      <c r="AB35" s="52" t="s">
        <v>2062</v>
      </c>
      <c r="AC35" s="52" t="s">
        <v>2082</v>
      </c>
      <c r="AD35" s="52" t="s">
        <v>587</v>
      </c>
      <c r="AE35" s="52" t="s">
        <v>2093</v>
      </c>
      <c r="AF35" s="70">
        <v>34330.0</v>
      </c>
      <c r="AG35" s="52">
        <v>32.0</v>
      </c>
      <c r="AH35" s="52" t="s">
        <v>1507</v>
      </c>
      <c r="AI35" s="52" t="s">
        <v>2235</v>
      </c>
      <c r="AJ35" s="52" t="s">
        <v>2236</v>
      </c>
      <c r="AK35" s="52" t="s">
        <v>2022</v>
      </c>
      <c r="AL35" s="52" t="s">
        <v>1480</v>
      </c>
      <c r="AM35" s="52" t="s">
        <v>587</v>
      </c>
      <c r="AN35" s="52" t="s">
        <v>1480</v>
      </c>
      <c r="AO35" s="52" t="s">
        <v>1483</v>
      </c>
      <c r="AP35" s="52">
        <v>925.0</v>
      </c>
      <c r="AQ35" s="52">
        <v>3825.0</v>
      </c>
      <c r="AR35" s="52" t="s">
        <v>210</v>
      </c>
      <c r="AS35" s="69">
        <v>45670.0</v>
      </c>
      <c r="AT35" s="70">
        <v>46018.0</v>
      </c>
      <c r="AU35" s="69">
        <v>45670.0</v>
      </c>
      <c r="AV35" s="70">
        <v>46018.0</v>
      </c>
      <c r="AW35" s="52" t="s">
        <v>1483</v>
      </c>
      <c r="AX35" s="52" t="s">
        <v>587</v>
      </c>
      <c r="AY35" s="52">
        <v>348.0</v>
      </c>
      <c r="AZ35" s="73" t="s">
        <v>2237</v>
      </c>
      <c r="BA35" s="73" t="s">
        <v>2238</v>
      </c>
    </row>
    <row r="36">
      <c r="B36" s="69">
        <v>45670.0</v>
      </c>
      <c r="C36" s="52" t="s">
        <v>211</v>
      </c>
      <c r="D36" s="52">
        <v>3.9547555E7</v>
      </c>
      <c r="E36" s="52" t="s">
        <v>2239</v>
      </c>
      <c r="F36" s="52" t="s">
        <v>205</v>
      </c>
      <c r="G36" s="52" t="s">
        <v>2041</v>
      </c>
      <c r="H36" s="52" t="s">
        <v>206</v>
      </c>
      <c r="I36" s="52" t="s">
        <v>2027</v>
      </c>
      <c r="K36" s="52" t="s">
        <v>2010</v>
      </c>
    </row>
    <row r="37">
      <c r="A37" s="52">
        <v>28.0</v>
      </c>
      <c r="B37" s="52" t="s">
        <v>1535</v>
      </c>
      <c r="C37" s="52" t="s">
        <v>2005</v>
      </c>
      <c r="D37" s="52">
        <v>1.193447899E9</v>
      </c>
      <c r="E37" s="52" t="s">
        <v>1908</v>
      </c>
      <c r="F37" s="69">
        <v>45666.0</v>
      </c>
      <c r="G37" s="52" t="s">
        <v>2240</v>
      </c>
      <c r="H37" s="52" t="s">
        <v>2008</v>
      </c>
      <c r="I37" s="52" t="s">
        <v>2008</v>
      </c>
      <c r="J37" s="52" t="s">
        <v>1470</v>
      </c>
      <c r="K37" s="52" t="s">
        <v>2098</v>
      </c>
      <c r="L37" s="52" t="s">
        <v>2010</v>
      </c>
      <c r="N37" s="52" t="s">
        <v>2010</v>
      </c>
      <c r="O37" s="69">
        <v>45666.0</v>
      </c>
      <c r="P37" s="52">
        <v>2.0251610002013E13</v>
      </c>
      <c r="Q37" s="52" t="s">
        <v>2098</v>
      </c>
      <c r="R37" s="69">
        <v>45666.0</v>
      </c>
      <c r="S37" s="52" t="s">
        <v>2241</v>
      </c>
      <c r="T37" s="52" t="s">
        <v>2013</v>
      </c>
      <c r="U37" s="52" t="s">
        <v>2242</v>
      </c>
      <c r="V37" s="52" t="s">
        <v>581</v>
      </c>
      <c r="W37" s="52" t="s">
        <v>1471</v>
      </c>
      <c r="X37" s="52" t="s">
        <v>583</v>
      </c>
      <c r="Y37" s="52" t="s">
        <v>214</v>
      </c>
      <c r="Z37" s="52" t="s">
        <v>2081</v>
      </c>
      <c r="AA37" s="52" t="s">
        <v>2016</v>
      </c>
      <c r="AB37" s="52" t="s">
        <v>2062</v>
      </c>
      <c r="AC37" s="52" t="s">
        <v>2054</v>
      </c>
      <c r="AD37" s="52" t="s">
        <v>587</v>
      </c>
      <c r="AE37" s="52" t="s">
        <v>2243</v>
      </c>
      <c r="AF37" s="69">
        <v>36754.0</v>
      </c>
      <c r="AG37" s="52">
        <v>25.0</v>
      </c>
      <c r="AH37" s="52" t="s">
        <v>1526</v>
      </c>
      <c r="AI37" s="52" t="s">
        <v>2244</v>
      </c>
      <c r="AJ37" s="52" t="s">
        <v>2245</v>
      </c>
      <c r="AK37" s="52" t="s">
        <v>2022</v>
      </c>
      <c r="AL37" s="52" t="s">
        <v>1537</v>
      </c>
      <c r="AM37" s="52" t="s">
        <v>587</v>
      </c>
      <c r="AN37" s="52" t="s">
        <v>1537</v>
      </c>
      <c r="AO37" s="52" t="s">
        <v>1483</v>
      </c>
      <c r="AP37" s="52">
        <v>4225.0</v>
      </c>
      <c r="AQ37" s="52">
        <v>3325.0</v>
      </c>
      <c r="AR37" s="52" t="s">
        <v>91</v>
      </c>
      <c r="AS37" s="69">
        <v>45667.0</v>
      </c>
      <c r="AT37" s="70">
        <v>46000.0</v>
      </c>
      <c r="AU37" s="69">
        <v>45667.0</v>
      </c>
      <c r="AV37" s="70">
        <v>46000.0</v>
      </c>
      <c r="AW37" s="52" t="s">
        <v>1483</v>
      </c>
      <c r="AX37" s="52" t="s">
        <v>587</v>
      </c>
      <c r="AY37" s="52">
        <v>333.0</v>
      </c>
      <c r="AZ37" s="52" t="s">
        <v>2246</v>
      </c>
      <c r="BA37" s="73" t="s">
        <v>2247</v>
      </c>
      <c r="BB37" s="69">
        <v>45667.0</v>
      </c>
      <c r="BC37" s="52" t="s">
        <v>217</v>
      </c>
      <c r="BD37" s="52">
        <v>7.1338113E7</v>
      </c>
      <c r="BE37" s="52" t="s">
        <v>2248</v>
      </c>
      <c r="BF37" s="52" t="s">
        <v>165</v>
      </c>
      <c r="BG37" s="52" t="s">
        <v>1475</v>
      </c>
      <c r="BH37" s="52" t="s">
        <v>212</v>
      </c>
      <c r="BI37" s="52" t="s">
        <v>2027</v>
      </c>
      <c r="BK37" s="52" t="s">
        <v>2010</v>
      </c>
    </row>
    <row r="38">
      <c r="A38" s="52">
        <v>29.0</v>
      </c>
      <c r="B38" s="52" t="s">
        <v>219</v>
      </c>
      <c r="C38" s="52" t="s">
        <v>2005</v>
      </c>
      <c r="D38" s="52">
        <v>1.130601351E9</v>
      </c>
      <c r="E38" s="52" t="s">
        <v>1908</v>
      </c>
      <c r="F38" s="69">
        <v>45667.0</v>
      </c>
      <c r="G38" s="52" t="s">
        <v>2249</v>
      </c>
      <c r="H38" s="52" t="s">
        <v>2068</v>
      </c>
      <c r="I38" s="52" t="s">
        <v>2068</v>
      </c>
      <c r="J38" s="52" t="s">
        <v>1478</v>
      </c>
      <c r="K38" s="52" t="s">
        <v>2059</v>
      </c>
      <c r="L38" s="52" t="s">
        <v>2010</v>
      </c>
      <c r="N38" s="52" t="s">
        <v>2010</v>
      </c>
      <c r="O38" s="69">
        <v>45666.0</v>
      </c>
      <c r="P38" s="52">
        <v>2.0251900002033E13</v>
      </c>
      <c r="Q38" s="52" t="s">
        <v>2059</v>
      </c>
      <c r="R38" s="69">
        <v>45666.0</v>
      </c>
      <c r="S38" s="52" t="s">
        <v>2250</v>
      </c>
      <c r="T38" s="52" t="s">
        <v>2013</v>
      </c>
      <c r="U38" s="52" t="s">
        <v>2251</v>
      </c>
      <c r="V38" s="52" t="s">
        <v>581</v>
      </c>
      <c r="W38" s="52" t="s">
        <v>1471</v>
      </c>
      <c r="X38" s="52" t="s">
        <v>583</v>
      </c>
      <c r="Y38" s="52" t="s">
        <v>220</v>
      </c>
      <c r="Z38" s="52" t="s">
        <v>2081</v>
      </c>
      <c r="AA38" s="52" t="s">
        <v>2054</v>
      </c>
      <c r="AB38" s="52" t="s">
        <v>2032</v>
      </c>
      <c r="AC38" s="52" t="s">
        <v>2033</v>
      </c>
      <c r="AD38" s="52" t="s">
        <v>587</v>
      </c>
      <c r="AE38" s="52" t="s">
        <v>2252</v>
      </c>
      <c r="AF38" s="69">
        <v>32346.0</v>
      </c>
      <c r="AG38" s="52">
        <v>37.0</v>
      </c>
      <c r="AH38" s="52" t="s">
        <v>1538</v>
      </c>
      <c r="AI38" s="52" t="s">
        <v>2253</v>
      </c>
      <c r="AJ38" s="52" t="s">
        <v>2254</v>
      </c>
      <c r="AK38" s="52" t="s">
        <v>2022</v>
      </c>
      <c r="AL38" s="52" t="s">
        <v>1539</v>
      </c>
      <c r="AM38" s="52" t="s">
        <v>587</v>
      </c>
      <c r="AN38" s="52" t="s">
        <v>1539</v>
      </c>
      <c r="AO38" s="52" t="s">
        <v>1483</v>
      </c>
      <c r="AP38" s="52">
        <v>1825.0</v>
      </c>
      <c r="AQ38" s="52">
        <v>4125.0</v>
      </c>
      <c r="AR38" s="52" t="s">
        <v>67</v>
      </c>
      <c r="AS38" s="69">
        <v>45671.0</v>
      </c>
      <c r="AT38" s="70">
        <v>45974.0</v>
      </c>
      <c r="AU38" s="69">
        <v>45671.0</v>
      </c>
      <c r="AV38" s="70">
        <v>45974.0</v>
      </c>
      <c r="AW38" s="52" t="s">
        <v>1483</v>
      </c>
      <c r="AX38" s="52" t="s">
        <v>587</v>
      </c>
      <c r="AY38" s="52">
        <v>303.0</v>
      </c>
      <c r="AZ38" s="52" t="s">
        <v>2246</v>
      </c>
      <c r="BA38" s="73" t="s">
        <v>2255</v>
      </c>
      <c r="BB38" s="69">
        <v>45671.0</v>
      </c>
      <c r="BC38" s="52" t="s">
        <v>222</v>
      </c>
      <c r="BD38" s="52">
        <v>1.026254981E9</v>
      </c>
      <c r="BE38" s="52" t="s">
        <v>2256</v>
      </c>
      <c r="BF38" s="52" t="s">
        <v>223</v>
      </c>
      <c r="BG38" s="52" t="s">
        <v>2041</v>
      </c>
      <c r="BH38" s="52" t="s">
        <v>218</v>
      </c>
      <c r="BI38" s="52" t="s">
        <v>2027</v>
      </c>
      <c r="BK38" s="52" t="s">
        <v>2010</v>
      </c>
    </row>
    <row r="39">
      <c r="A39" s="52">
        <v>30.0</v>
      </c>
      <c r="B39" s="52" t="s">
        <v>225</v>
      </c>
      <c r="C39" s="52" t="s">
        <v>2005</v>
      </c>
      <c r="D39" s="52">
        <v>1.073512831E9</v>
      </c>
      <c r="E39" s="52" t="s">
        <v>1908</v>
      </c>
      <c r="F39" s="69">
        <v>45667.0</v>
      </c>
      <c r="G39" s="52" t="s">
        <v>227</v>
      </c>
      <c r="H39" s="52" t="s">
        <v>2257</v>
      </c>
      <c r="I39" s="52" t="s">
        <v>2257</v>
      </c>
      <c r="J39" s="52" t="s">
        <v>1478</v>
      </c>
      <c r="K39" s="52" t="s">
        <v>2059</v>
      </c>
      <c r="L39" s="52" t="s">
        <v>2010</v>
      </c>
      <c r="N39" s="52" t="s">
        <v>2010</v>
      </c>
      <c r="O39" s="69">
        <v>45666.0</v>
      </c>
      <c r="P39" s="52">
        <v>2.0251800002063E13</v>
      </c>
      <c r="Q39" s="52" t="s">
        <v>2059</v>
      </c>
      <c r="R39" s="69">
        <v>45666.0</v>
      </c>
      <c r="S39" s="52" t="s">
        <v>2258</v>
      </c>
      <c r="T39" s="52" t="s">
        <v>2013</v>
      </c>
      <c r="U39" s="52" t="s">
        <v>2259</v>
      </c>
      <c r="V39" s="52" t="s">
        <v>581</v>
      </c>
      <c r="W39" s="52" t="s">
        <v>1471</v>
      </c>
      <c r="X39" s="52" t="s">
        <v>583</v>
      </c>
      <c r="Y39" s="52" t="s">
        <v>226</v>
      </c>
      <c r="Z39" s="52" t="s">
        <v>2081</v>
      </c>
      <c r="AA39" s="52" t="s">
        <v>2016</v>
      </c>
      <c r="AB39" s="52" t="s">
        <v>2032</v>
      </c>
      <c r="AC39" s="52" t="s">
        <v>2018</v>
      </c>
      <c r="AD39" s="52" t="s">
        <v>587</v>
      </c>
      <c r="AE39" s="52" t="s">
        <v>2260</v>
      </c>
      <c r="AF39" s="69">
        <v>34173.0</v>
      </c>
      <c r="AG39" s="52">
        <v>32.0</v>
      </c>
      <c r="AH39" s="52" t="s">
        <v>1541</v>
      </c>
      <c r="AI39" s="52" t="s">
        <v>2261</v>
      </c>
      <c r="AJ39" s="52" t="s">
        <v>2262</v>
      </c>
      <c r="AK39" s="52" t="s">
        <v>2022</v>
      </c>
      <c r="AL39" s="52" t="s">
        <v>1542</v>
      </c>
      <c r="AM39" s="52" t="s">
        <v>587</v>
      </c>
      <c r="AN39" s="52" t="s">
        <v>1542</v>
      </c>
      <c r="AO39" s="52" t="s">
        <v>1483</v>
      </c>
      <c r="AP39" s="52">
        <v>2325.0</v>
      </c>
      <c r="AQ39" s="52">
        <v>3725.0</v>
      </c>
      <c r="AR39" s="52" t="s">
        <v>228</v>
      </c>
      <c r="AS39" s="69">
        <v>45668.0</v>
      </c>
      <c r="AT39" s="70">
        <v>46018.0</v>
      </c>
      <c r="AU39" s="69">
        <v>45670.0</v>
      </c>
      <c r="AV39" s="70">
        <v>46018.0</v>
      </c>
      <c r="AW39" s="52" t="s">
        <v>1483</v>
      </c>
      <c r="AX39" s="52" t="s">
        <v>587</v>
      </c>
      <c r="AY39" s="52">
        <v>348.0</v>
      </c>
      <c r="AZ39" s="52" t="s">
        <v>2246</v>
      </c>
      <c r="BA39" s="73" t="s">
        <v>2263</v>
      </c>
      <c r="BB39" s="69">
        <v>45670.0</v>
      </c>
      <c r="BC39" s="52" t="s">
        <v>229</v>
      </c>
      <c r="BD39" s="69">
        <v>1.0012294E7</v>
      </c>
      <c r="BE39" s="52" t="s">
        <v>2112</v>
      </c>
      <c r="BF39" s="52" t="s">
        <v>230</v>
      </c>
      <c r="BG39" s="52" t="s">
        <v>2041</v>
      </c>
      <c r="BH39" s="52" t="s">
        <v>224</v>
      </c>
      <c r="BI39" s="52" t="s">
        <v>2027</v>
      </c>
      <c r="BK39" s="52" t="s">
        <v>2010</v>
      </c>
    </row>
    <row r="40">
      <c r="A40" s="52">
        <v>31.0</v>
      </c>
      <c r="B40" s="52" t="s">
        <v>232</v>
      </c>
      <c r="C40" s="52" t="s">
        <v>2005</v>
      </c>
      <c r="D40" s="52">
        <v>5.246763E7</v>
      </c>
      <c r="E40" s="52" t="s">
        <v>1908</v>
      </c>
      <c r="F40" s="69">
        <v>45666.0</v>
      </c>
      <c r="G40" s="52" t="s">
        <v>234</v>
      </c>
      <c r="H40" s="52" t="s">
        <v>1543</v>
      </c>
      <c r="I40" s="52" t="s">
        <v>2008</v>
      </c>
      <c r="J40" s="52" t="s">
        <v>1470</v>
      </c>
      <c r="K40" s="52" t="s">
        <v>2098</v>
      </c>
      <c r="L40" s="52" t="s">
        <v>2010</v>
      </c>
      <c r="N40" s="52" t="s">
        <v>2010</v>
      </c>
      <c r="O40" s="69">
        <v>45666.0</v>
      </c>
      <c r="P40" s="52">
        <v>2.0251120002083E13</v>
      </c>
      <c r="Q40" s="52" t="s">
        <v>2098</v>
      </c>
      <c r="R40" s="69">
        <v>45666.0</v>
      </c>
      <c r="S40" s="52" t="s">
        <v>2264</v>
      </c>
      <c r="T40" s="52" t="s">
        <v>2013</v>
      </c>
      <c r="U40" s="52" t="s">
        <v>2265</v>
      </c>
      <c r="V40" s="52" t="s">
        <v>581</v>
      </c>
      <c r="W40" s="52" t="s">
        <v>1471</v>
      </c>
      <c r="X40" s="52" t="s">
        <v>583</v>
      </c>
      <c r="Y40" s="52" t="s">
        <v>233</v>
      </c>
      <c r="Z40" s="52" t="s">
        <v>2015</v>
      </c>
      <c r="AA40" s="52" t="s">
        <v>2016</v>
      </c>
      <c r="AB40" s="52" t="s">
        <v>2062</v>
      </c>
      <c r="AC40" s="52" t="s">
        <v>2054</v>
      </c>
      <c r="AD40" s="52" t="s">
        <v>587</v>
      </c>
      <c r="AE40" s="52" t="s">
        <v>2145</v>
      </c>
      <c r="AF40" s="69">
        <v>29323.0</v>
      </c>
      <c r="AG40" s="52">
        <v>45.0</v>
      </c>
      <c r="AH40" s="52" t="s">
        <v>2266</v>
      </c>
      <c r="AI40" s="52" t="s">
        <v>2267</v>
      </c>
      <c r="AJ40" s="52" t="s">
        <v>2268</v>
      </c>
      <c r="AK40" s="52" t="s">
        <v>2022</v>
      </c>
      <c r="AL40" s="52" t="s">
        <v>1672</v>
      </c>
      <c r="AM40" s="52" t="s">
        <v>587</v>
      </c>
      <c r="AN40" s="52" t="s">
        <v>1672</v>
      </c>
      <c r="AO40" s="52" t="s">
        <v>1483</v>
      </c>
      <c r="AP40" s="52">
        <v>4925.0</v>
      </c>
      <c r="AQ40" s="52">
        <v>3625.0</v>
      </c>
      <c r="AR40" s="52" t="s">
        <v>91</v>
      </c>
      <c r="AS40" s="69">
        <v>45668.0</v>
      </c>
      <c r="AT40" s="70">
        <v>45973.0</v>
      </c>
      <c r="AU40" s="69">
        <v>45670.0</v>
      </c>
      <c r="AV40" s="70">
        <v>45973.0</v>
      </c>
      <c r="AW40" s="52" t="s">
        <v>1483</v>
      </c>
      <c r="AX40" s="52" t="s">
        <v>587</v>
      </c>
      <c r="AY40" s="52">
        <v>303.0</v>
      </c>
      <c r="AZ40" s="52" t="s">
        <v>2246</v>
      </c>
      <c r="BA40" s="73" t="s">
        <v>2269</v>
      </c>
      <c r="BB40" s="69">
        <v>45670.0</v>
      </c>
      <c r="BC40" s="52" t="s">
        <v>235</v>
      </c>
      <c r="BD40" s="52">
        <v>5.5179818E7</v>
      </c>
      <c r="BE40" s="52" t="s">
        <v>2270</v>
      </c>
      <c r="BF40" s="52" t="s">
        <v>236</v>
      </c>
      <c r="BG40" s="52" t="s">
        <v>72</v>
      </c>
      <c r="BH40" s="52" t="s">
        <v>231</v>
      </c>
      <c r="BI40" s="52" t="s">
        <v>2027</v>
      </c>
      <c r="BK40" s="52" t="s">
        <v>2010</v>
      </c>
    </row>
    <row r="41">
      <c r="A41" s="52">
        <v>32.0</v>
      </c>
      <c r="B41" s="52" t="s">
        <v>238</v>
      </c>
      <c r="C41" s="52" t="s">
        <v>2005</v>
      </c>
      <c r="D41" s="52">
        <v>9.1251483E7</v>
      </c>
      <c r="E41" s="52" t="s">
        <v>1908</v>
      </c>
      <c r="F41" s="69">
        <v>45666.0</v>
      </c>
      <c r="G41" s="52" t="s">
        <v>240</v>
      </c>
      <c r="H41" s="52" t="s">
        <v>1543</v>
      </c>
      <c r="I41" s="52" t="s">
        <v>2008</v>
      </c>
      <c r="J41" s="52" t="s">
        <v>1470</v>
      </c>
      <c r="K41" s="52" t="s">
        <v>2098</v>
      </c>
      <c r="L41" s="52" t="s">
        <v>2010</v>
      </c>
      <c r="N41" s="52" t="s">
        <v>2010</v>
      </c>
      <c r="O41" s="69">
        <v>45666.0</v>
      </c>
      <c r="P41" s="52">
        <v>2.0251120002143E13</v>
      </c>
      <c r="Q41" s="52" t="s">
        <v>2098</v>
      </c>
      <c r="R41" s="69">
        <v>45666.0</v>
      </c>
      <c r="S41" s="52" t="s">
        <v>2271</v>
      </c>
      <c r="T41" s="52" t="s">
        <v>2013</v>
      </c>
      <c r="U41" s="52" t="s">
        <v>2272</v>
      </c>
      <c r="V41" s="52" t="s">
        <v>581</v>
      </c>
      <c r="W41" s="52" t="s">
        <v>1471</v>
      </c>
      <c r="X41" s="52" t="s">
        <v>583</v>
      </c>
      <c r="Y41" s="52" t="s">
        <v>239</v>
      </c>
      <c r="Z41" s="52" t="s">
        <v>2081</v>
      </c>
      <c r="AA41" s="52" t="s">
        <v>2016</v>
      </c>
      <c r="AB41" s="52" t="s">
        <v>2062</v>
      </c>
      <c r="AC41" s="52" t="s">
        <v>2018</v>
      </c>
      <c r="AD41" s="52" t="s">
        <v>587</v>
      </c>
      <c r="AE41" s="52" t="s">
        <v>2273</v>
      </c>
      <c r="AF41" s="69">
        <v>24481.0</v>
      </c>
      <c r="AG41" s="52">
        <v>58.0</v>
      </c>
      <c r="AH41" s="52" t="s">
        <v>1544</v>
      </c>
      <c r="AI41" s="52" t="s">
        <v>2274</v>
      </c>
      <c r="AJ41" s="52" t="s">
        <v>2275</v>
      </c>
      <c r="AK41" s="52" t="s">
        <v>2022</v>
      </c>
      <c r="AL41" s="52" t="s">
        <v>1545</v>
      </c>
      <c r="AM41" s="52" t="s">
        <v>587</v>
      </c>
      <c r="AN41" s="52" t="s">
        <v>1545</v>
      </c>
      <c r="AO41" s="52" t="s">
        <v>1483</v>
      </c>
      <c r="AP41" s="52">
        <v>5225.0</v>
      </c>
      <c r="AQ41" s="52">
        <v>3125.0</v>
      </c>
      <c r="AR41" s="52" t="s">
        <v>91</v>
      </c>
      <c r="AS41" s="69">
        <v>45667.0</v>
      </c>
      <c r="AT41" s="69">
        <v>45847.0</v>
      </c>
      <c r="AU41" s="69">
        <v>45667.0</v>
      </c>
      <c r="AV41" s="69">
        <v>45847.0</v>
      </c>
      <c r="AW41" s="52" t="s">
        <v>1483</v>
      </c>
      <c r="AX41" s="52" t="s">
        <v>587</v>
      </c>
      <c r="AY41" s="52">
        <v>180.0</v>
      </c>
      <c r="AZ41" s="52" t="s">
        <v>2246</v>
      </c>
      <c r="BA41" s="73" t="s">
        <v>2276</v>
      </c>
      <c r="BB41" s="69">
        <v>45667.0</v>
      </c>
      <c r="BC41" s="52" t="s">
        <v>241</v>
      </c>
      <c r="BD41" s="52">
        <v>1.070962093E9</v>
      </c>
      <c r="BE41" s="52" t="s">
        <v>2277</v>
      </c>
      <c r="BF41" s="52" t="s">
        <v>242</v>
      </c>
      <c r="BG41" s="52" t="s">
        <v>2041</v>
      </c>
      <c r="BH41" s="52" t="s">
        <v>231</v>
      </c>
      <c r="BI41" s="52" t="s">
        <v>2027</v>
      </c>
      <c r="BK41" s="52" t="s">
        <v>2010</v>
      </c>
    </row>
    <row r="42">
      <c r="A42" s="52">
        <v>33.0</v>
      </c>
      <c r="B42" s="52" t="s">
        <v>244</v>
      </c>
      <c r="C42" s="52" t="s">
        <v>2005</v>
      </c>
      <c r="D42" s="52">
        <v>2.8061081E7</v>
      </c>
      <c r="E42" s="52" t="s">
        <v>1908</v>
      </c>
      <c r="F42" s="69">
        <v>45670.0</v>
      </c>
      <c r="G42" s="52" t="s">
        <v>246</v>
      </c>
      <c r="H42" s="52" t="s">
        <v>2068</v>
      </c>
      <c r="I42" s="52" t="s">
        <v>2068</v>
      </c>
      <c r="J42" s="52" t="s">
        <v>1478</v>
      </c>
      <c r="K42" s="52" t="s">
        <v>2059</v>
      </c>
      <c r="L42" s="52" t="s">
        <v>2010</v>
      </c>
      <c r="N42" s="52" t="s">
        <v>2010</v>
      </c>
      <c r="O42" s="69">
        <v>45666.0</v>
      </c>
      <c r="P42" s="52">
        <v>2.0251900002163E13</v>
      </c>
      <c r="Q42" s="52" t="s">
        <v>2059</v>
      </c>
      <c r="R42" s="69">
        <v>45666.0</v>
      </c>
      <c r="S42" s="52" t="s">
        <v>2278</v>
      </c>
      <c r="T42" s="52" t="s">
        <v>2013</v>
      </c>
      <c r="U42" s="52" t="s">
        <v>2279</v>
      </c>
      <c r="V42" s="52" t="s">
        <v>581</v>
      </c>
      <c r="W42" s="52" t="s">
        <v>1471</v>
      </c>
      <c r="X42" s="52" t="s">
        <v>583</v>
      </c>
      <c r="Y42" s="52" t="s">
        <v>245</v>
      </c>
      <c r="Z42" s="52" t="s">
        <v>2015</v>
      </c>
      <c r="AA42" s="52" t="s">
        <v>2016</v>
      </c>
      <c r="AB42" s="52" t="s">
        <v>2062</v>
      </c>
      <c r="AC42" s="52" t="s">
        <v>2082</v>
      </c>
      <c r="AD42" s="52" t="s">
        <v>587</v>
      </c>
      <c r="AE42" s="52" t="s">
        <v>2280</v>
      </c>
      <c r="AF42" s="69">
        <v>29350.0</v>
      </c>
      <c r="AG42" s="52">
        <v>45.0</v>
      </c>
      <c r="AH42" s="52" t="s">
        <v>1546</v>
      </c>
      <c r="AI42" s="52" t="s">
        <v>2281</v>
      </c>
      <c r="AJ42" s="52" t="s">
        <v>2282</v>
      </c>
      <c r="AK42" s="52" t="s">
        <v>2022</v>
      </c>
      <c r="AL42" s="52" t="s">
        <v>1547</v>
      </c>
      <c r="AM42" s="52" t="s">
        <v>587</v>
      </c>
      <c r="AN42" s="52" t="s">
        <v>1547</v>
      </c>
      <c r="AO42" s="52" t="s">
        <v>1483</v>
      </c>
      <c r="AP42" s="52">
        <v>7025.0</v>
      </c>
      <c r="AQ42" s="52">
        <v>4525.0</v>
      </c>
      <c r="AR42" s="52" t="s">
        <v>67</v>
      </c>
      <c r="AS42" s="69">
        <v>45671.0</v>
      </c>
      <c r="AT42" s="70">
        <v>46004.0</v>
      </c>
      <c r="AU42" s="69">
        <v>45671.0</v>
      </c>
      <c r="AV42" s="70">
        <v>46004.0</v>
      </c>
      <c r="AW42" s="52" t="s">
        <v>1483</v>
      </c>
      <c r="AX42" s="52" t="s">
        <v>587</v>
      </c>
      <c r="AY42" s="52">
        <v>333.0</v>
      </c>
      <c r="AZ42" s="52" t="s">
        <v>2246</v>
      </c>
      <c r="BA42" s="73" t="s">
        <v>2283</v>
      </c>
      <c r="BB42" s="69">
        <v>45671.0</v>
      </c>
      <c r="BC42" s="52" t="s">
        <v>222</v>
      </c>
      <c r="BD42" s="52">
        <v>1.026254981E9</v>
      </c>
      <c r="BE42" s="52" t="s">
        <v>2256</v>
      </c>
      <c r="BF42" s="52" t="s">
        <v>223</v>
      </c>
      <c r="BG42" s="52" t="s">
        <v>2041</v>
      </c>
      <c r="BH42" s="52" t="s">
        <v>243</v>
      </c>
      <c r="BI42" s="52" t="s">
        <v>2027</v>
      </c>
      <c r="BK42" s="52" t="s">
        <v>2010</v>
      </c>
    </row>
    <row r="43">
      <c r="A43" s="52">
        <v>34.0</v>
      </c>
      <c r="B43" s="52" t="s">
        <v>249</v>
      </c>
      <c r="C43" s="52" t="s">
        <v>2005</v>
      </c>
      <c r="D43" s="52">
        <v>1.006772235E9</v>
      </c>
      <c r="E43" s="52" t="s">
        <v>1908</v>
      </c>
      <c r="F43" s="69">
        <v>45667.0</v>
      </c>
      <c r="G43" s="52" t="s">
        <v>251</v>
      </c>
      <c r="H43" s="52" t="s">
        <v>2042</v>
      </c>
      <c r="I43" s="52" t="s">
        <v>2042</v>
      </c>
      <c r="J43" s="52" t="s">
        <v>1478</v>
      </c>
      <c r="K43" s="52" t="s">
        <v>2051</v>
      </c>
      <c r="L43" s="52" t="s">
        <v>2010</v>
      </c>
      <c r="N43" s="52" t="s">
        <v>2010</v>
      </c>
      <c r="O43" s="69">
        <v>45667.0</v>
      </c>
      <c r="P43" s="52">
        <v>2.0251520002243E13</v>
      </c>
      <c r="Q43" s="52" t="s">
        <v>2213</v>
      </c>
      <c r="R43" s="69">
        <v>45667.0</v>
      </c>
      <c r="S43" s="52" t="s">
        <v>2284</v>
      </c>
      <c r="T43" s="52" t="s">
        <v>2013</v>
      </c>
      <c r="U43" s="52" t="s">
        <v>2285</v>
      </c>
      <c r="V43" s="52" t="s">
        <v>581</v>
      </c>
      <c r="W43" s="52" t="s">
        <v>1471</v>
      </c>
      <c r="X43" s="52" t="s">
        <v>781</v>
      </c>
      <c r="Y43" s="52" t="s">
        <v>250</v>
      </c>
      <c r="Z43" s="52" t="s">
        <v>2081</v>
      </c>
      <c r="AA43" s="52" t="s">
        <v>2016</v>
      </c>
      <c r="AB43" s="52" t="s">
        <v>2062</v>
      </c>
      <c r="AC43" s="52" t="s">
        <v>2033</v>
      </c>
      <c r="AD43" s="52" t="s">
        <v>587</v>
      </c>
      <c r="AE43" s="52" t="s">
        <v>2286</v>
      </c>
      <c r="AF43" s="69">
        <v>37157.0</v>
      </c>
      <c r="AG43" s="52">
        <v>24.0</v>
      </c>
      <c r="AH43" s="52" t="s">
        <v>1548</v>
      </c>
      <c r="AI43" s="52" t="s">
        <v>2287</v>
      </c>
      <c r="AJ43" s="52" t="s">
        <v>2288</v>
      </c>
      <c r="AK43" s="52" t="s">
        <v>2022</v>
      </c>
      <c r="AL43" s="52" t="s">
        <v>1549</v>
      </c>
      <c r="AM43" s="52" t="s">
        <v>587</v>
      </c>
      <c r="AN43" s="52" t="s">
        <v>1549</v>
      </c>
      <c r="AO43" s="52" t="s">
        <v>1483</v>
      </c>
      <c r="AP43" s="52">
        <v>3225.0</v>
      </c>
      <c r="AQ43" s="52">
        <v>4625.0</v>
      </c>
      <c r="AR43" s="52" t="s">
        <v>53</v>
      </c>
      <c r="AS43" s="69">
        <v>45668.0</v>
      </c>
      <c r="AT43" s="70">
        <v>46019.0</v>
      </c>
      <c r="AU43" s="69">
        <v>45671.0</v>
      </c>
      <c r="AV43" s="70">
        <v>46019.0</v>
      </c>
      <c r="AW43" s="52" t="s">
        <v>1483</v>
      </c>
      <c r="AX43" s="52" t="s">
        <v>587</v>
      </c>
      <c r="AY43" s="52">
        <v>348.0</v>
      </c>
      <c r="AZ43" s="52" t="s">
        <v>2246</v>
      </c>
      <c r="BA43" s="73" t="s">
        <v>2289</v>
      </c>
      <c r="BB43" s="69">
        <v>45671.0</v>
      </c>
      <c r="BC43" s="52" t="s">
        <v>252</v>
      </c>
      <c r="BD43" s="52">
        <v>1.053825946E9</v>
      </c>
      <c r="BE43" s="52" t="s">
        <v>2290</v>
      </c>
      <c r="BF43" s="52" t="s">
        <v>182</v>
      </c>
      <c r="BG43" s="52" t="s">
        <v>2041</v>
      </c>
      <c r="BH43" s="52" t="s">
        <v>247</v>
      </c>
      <c r="BI43" s="52" t="s">
        <v>2027</v>
      </c>
      <c r="BK43" s="52" t="s">
        <v>2010</v>
      </c>
    </row>
    <row r="44">
      <c r="A44" s="52">
        <v>35.0</v>
      </c>
      <c r="B44" s="52" t="s">
        <v>254</v>
      </c>
      <c r="C44" s="52" t="s">
        <v>2005</v>
      </c>
      <c r="D44" s="52">
        <v>1.018492802E9</v>
      </c>
      <c r="E44" s="52" t="s">
        <v>1908</v>
      </c>
      <c r="F44" s="69">
        <v>45670.0</v>
      </c>
      <c r="G44" s="52" t="s">
        <v>256</v>
      </c>
      <c r="H44" s="52" t="s">
        <v>2291</v>
      </c>
      <c r="I44" s="52" t="s">
        <v>2042</v>
      </c>
      <c r="J44" s="52" t="s">
        <v>1478</v>
      </c>
      <c r="K44" s="52" t="s">
        <v>2051</v>
      </c>
      <c r="L44" s="52" t="s">
        <v>2010</v>
      </c>
      <c r="N44" s="52" t="s">
        <v>2010</v>
      </c>
      <c r="O44" s="69">
        <v>45667.0</v>
      </c>
      <c r="P44" s="52">
        <v>2.0251520002253E13</v>
      </c>
      <c r="Q44" s="52" t="s">
        <v>2213</v>
      </c>
      <c r="R44" s="69">
        <v>45667.0</v>
      </c>
      <c r="S44" s="52" t="s">
        <v>2292</v>
      </c>
      <c r="T44" s="52" t="s">
        <v>2013</v>
      </c>
      <c r="U44" s="52" t="s">
        <v>2293</v>
      </c>
      <c r="V44" s="52" t="s">
        <v>581</v>
      </c>
      <c r="W44" s="52" t="s">
        <v>1471</v>
      </c>
      <c r="X44" s="52" t="s">
        <v>583</v>
      </c>
      <c r="Y44" s="52" t="s">
        <v>255</v>
      </c>
      <c r="Z44" s="52" t="s">
        <v>2015</v>
      </c>
      <c r="AA44" s="52" t="s">
        <v>2016</v>
      </c>
      <c r="AB44" s="52" t="s">
        <v>2062</v>
      </c>
      <c r="AC44" s="52" t="s">
        <v>2033</v>
      </c>
      <c r="AD44" s="52" t="s">
        <v>587</v>
      </c>
      <c r="AE44" s="52" t="s">
        <v>2294</v>
      </c>
      <c r="AF44" s="69">
        <v>35481.0</v>
      </c>
      <c r="AG44" s="52">
        <v>28.0</v>
      </c>
      <c r="AH44" s="52" t="s">
        <v>1479</v>
      </c>
      <c r="AI44" s="52" t="s">
        <v>2295</v>
      </c>
      <c r="AJ44" s="52" t="s">
        <v>2296</v>
      </c>
      <c r="AK44" s="52" t="s">
        <v>2022</v>
      </c>
      <c r="AL44" s="52" t="s">
        <v>1551</v>
      </c>
      <c r="AM44" s="52" t="s">
        <v>587</v>
      </c>
      <c r="AN44" s="52" t="s">
        <v>1551</v>
      </c>
      <c r="AO44" s="52" t="s">
        <v>1483</v>
      </c>
      <c r="AP44" s="52">
        <v>2925.0</v>
      </c>
      <c r="AQ44" s="52">
        <v>4325.0</v>
      </c>
      <c r="AR44" s="52" t="s">
        <v>53</v>
      </c>
      <c r="AS44" s="69">
        <v>45671.0</v>
      </c>
      <c r="AT44" s="70">
        <v>46019.0</v>
      </c>
      <c r="AU44" s="69">
        <v>45671.0</v>
      </c>
      <c r="AV44" s="70">
        <v>46019.0</v>
      </c>
      <c r="AW44" s="52" t="s">
        <v>1483</v>
      </c>
      <c r="AX44" s="52" t="s">
        <v>587</v>
      </c>
      <c r="AY44" s="52">
        <v>348.0</v>
      </c>
      <c r="AZ44" s="52" t="s">
        <v>2246</v>
      </c>
      <c r="BA44" s="73" t="s">
        <v>2297</v>
      </c>
      <c r="BB44" s="69">
        <v>45671.0</v>
      </c>
      <c r="BC44" s="52" t="s">
        <v>257</v>
      </c>
      <c r="BD44" s="52">
        <v>5.298137E7</v>
      </c>
      <c r="BE44" s="52" t="s">
        <v>2298</v>
      </c>
      <c r="BF44" s="52" t="s">
        <v>258</v>
      </c>
      <c r="BG44" s="52" t="s">
        <v>2041</v>
      </c>
      <c r="BH44" s="52" t="s">
        <v>253</v>
      </c>
      <c r="BI44" s="52" t="s">
        <v>2027</v>
      </c>
      <c r="BK44" s="52" t="s">
        <v>2010</v>
      </c>
    </row>
    <row r="45">
      <c r="A45" s="52">
        <v>36.0</v>
      </c>
      <c r="B45" s="52" t="s">
        <v>260</v>
      </c>
      <c r="C45" s="52" t="s">
        <v>2005</v>
      </c>
      <c r="D45" s="52">
        <v>1.070924443E9</v>
      </c>
      <c r="E45" s="52" t="s">
        <v>1908</v>
      </c>
      <c r="F45" s="69">
        <v>45667.0</v>
      </c>
      <c r="G45" s="52" t="s">
        <v>262</v>
      </c>
      <c r="H45" s="52" t="s">
        <v>2299</v>
      </c>
      <c r="I45" s="52" t="s">
        <v>2299</v>
      </c>
      <c r="J45" s="52" t="s">
        <v>1478</v>
      </c>
      <c r="K45" s="52" t="s">
        <v>2069</v>
      </c>
      <c r="L45" s="52" t="s">
        <v>2010</v>
      </c>
      <c r="N45" s="52" t="s">
        <v>2010</v>
      </c>
      <c r="O45" s="69">
        <v>45667.0</v>
      </c>
      <c r="P45" s="52">
        <v>2.0251300002273E13</v>
      </c>
      <c r="Q45" s="52" t="s">
        <v>2069</v>
      </c>
      <c r="R45" s="69">
        <v>45667.0</v>
      </c>
      <c r="S45" s="52" t="s">
        <v>2300</v>
      </c>
      <c r="T45" s="52" t="s">
        <v>2013</v>
      </c>
      <c r="U45" s="52" t="s">
        <v>2301</v>
      </c>
      <c r="V45" s="52" t="s">
        <v>581</v>
      </c>
      <c r="W45" s="52" t="s">
        <v>1471</v>
      </c>
      <c r="X45" s="52" t="s">
        <v>781</v>
      </c>
      <c r="Y45" s="52" t="s">
        <v>261</v>
      </c>
      <c r="Z45" s="52" t="s">
        <v>2081</v>
      </c>
      <c r="AA45" s="52" t="s">
        <v>2016</v>
      </c>
      <c r="AB45" s="52" t="s">
        <v>2017</v>
      </c>
      <c r="AC45" s="52" t="s">
        <v>2018</v>
      </c>
      <c r="AD45" s="52" t="s">
        <v>587</v>
      </c>
      <c r="AE45" s="52" t="s">
        <v>2302</v>
      </c>
      <c r="AF45" s="69">
        <v>35283.0</v>
      </c>
      <c r="AG45" s="52">
        <v>29.0</v>
      </c>
      <c r="AH45" s="52" t="s">
        <v>1553</v>
      </c>
      <c r="AI45" s="52" t="s">
        <v>2303</v>
      </c>
      <c r="AJ45" s="52" t="s">
        <v>2304</v>
      </c>
      <c r="AK45" s="52" t="s">
        <v>2022</v>
      </c>
      <c r="AL45" s="52" t="s">
        <v>1554</v>
      </c>
      <c r="AM45" s="52" t="s">
        <v>587</v>
      </c>
      <c r="AN45" s="52" t="s">
        <v>1554</v>
      </c>
      <c r="AO45" s="52" t="s">
        <v>1483</v>
      </c>
      <c r="AP45" s="52">
        <v>1325.0</v>
      </c>
      <c r="AQ45" s="52">
        <v>3925.0</v>
      </c>
      <c r="AR45" s="52" t="s">
        <v>62</v>
      </c>
      <c r="AS45" s="69">
        <v>45670.0</v>
      </c>
      <c r="AT45" s="69">
        <v>45881.0</v>
      </c>
      <c r="AU45" s="69">
        <v>45670.0</v>
      </c>
      <c r="AV45" s="69">
        <v>45881.0</v>
      </c>
      <c r="AW45" s="52" t="s">
        <v>1483</v>
      </c>
      <c r="AX45" s="52" t="s">
        <v>587</v>
      </c>
      <c r="AY45" s="52">
        <v>211.0</v>
      </c>
      <c r="AZ45" s="52" t="s">
        <v>2246</v>
      </c>
      <c r="BA45" s="73" t="s">
        <v>2305</v>
      </c>
      <c r="BB45" s="69">
        <v>45670.0</v>
      </c>
      <c r="BC45" s="52" t="s">
        <v>198</v>
      </c>
      <c r="BD45" s="52">
        <v>7.9522477E7</v>
      </c>
      <c r="BE45" s="52" t="s">
        <v>2306</v>
      </c>
      <c r="BF45" s="52" t="s">
        <v>263</v>
      </c>
      <c r="BG45" s="52" t="s">
        <v>2041</v>
      </c>
      <c r="BH45" s="52" t="s">
        <v>259</v>
      </c>
      <c r="BI45" s="52" t="s">
        <v>2027</v>
      </c>
      <c r="BK45" s="52" t="s">
        <v>2010</v>
      </c>
    </row>
    <row r="46">
      <c r="A46" s="52">
        <v>37.0</v>
      </c>
      <c r="B46" s="52" t="s">
        <v>265</v>
      </c>
      <c r="C46" s="52" t="s">
        <v>2307</v>
      </c>
      <c r="D46" s="52">
        <v>9.001965551E9</v>
      </c>
      <c r="E46" s="52" t="s">
        <v>1908</v>
      </c>
      <c r="F46" s="69">
        <v>45672.0</v>
      </c>
      <c r="G46" s="52" t="s">
        <v>267</v>
      </c>
      <c r="H46" s="52" t="s">
        <v>2028</v>
      </c>
      <c r="I46" s="52" t="s">
        <v>2299</v>
      </c>
      <c r="J46" s="52" t="s">
        <v>1478</v>
      </c>
      <c r="K46" s="52" t="s">
        <v>2069</v>
      </c>
      <c r="L46" s="52" t="s">
        <v>2010</v>
      </c>
      <c r="N46" s="52" t="s">
        <v>1908</v>
      </c>
      <c r="O46" s="69">
        <v>45668.0</v>
      </c>
      <c r="P46" s="52">
        <v>2.0251300002563E13</v>
      </c>
      <c r="Q46" s="52" t="s">
        <v>2069</v>
      </c>
      <c r="R46" s="69">
        <v>45670.0</v>
      </c>
      <c r="S46" s="52" t="s">
        <v>2308</v>
      </c>
      <c r="T46" s="52" t="s">
        <v>2013</v>
      </c>
      <c r="U46" s="52" t="s">
        <v>2309</v>
      </c>
      <c r="V46" s="52" t="s">
        <v>581</v>
      </c>
      <c r="W46" s="52" t="s">
        <v>1555</v>
      </c>
      <c r="X46" s="52" t="s">
        <v>583</v>
      </c>
      <c r="Y46" s="52" t="s">
        <v>266</v>
      </c>
      <c r="AA46" s="52" t="s">
        <v>39</v>
      </c>
      <c r="AB46" s="52" t="s">
        <v>39</v>
      </c>
      <c r="AC46" s="52" t="s">
        <v>39</v>
      </c>
      <c r="AD46" s="52" t="s">
        <v>587</v>
      </c>
      <c r="AE46" s="52" t="s">
        <v>39</v>
      </c>
      <c r="AF46" s="52" t="s">
        <v>39</v>
      </c>
      <c r="AG46" s="52" t="s">
        <v>2310</v>
      </c>
      <c r="AH46" s="52" t="s">
        <v>39</v>
      </c>
      <c r="AJ46" s="52" t="s">
        <v>2311</v>
      </c>
      <c r="AK46" s="52" t="s">
        <v>2022</v>
      </c>
      <c r="AL46" s="52" t="s">
        <v>1557</v>
      </c>
      <c r="AM46" s="52" t="s">
        <v>587</v>
      </c>
      <c r="AN46" s="52" t="s">
        <v>1557</v>
      </c>
      <c r="AO46" s="52" t="s">
        <v>1483</v>
      </c>
      <c r="AQ46" s="52">
        <v>6025.0</v>
      </c>
      <c r="AR46" s="52" t="s">
        <v>197</v>
      </c>
      <c r="AS46" s="52" t="s">
        <v>1879</v>
      </c>
      <c r="AT46" s="52" t="s">
        <v>1879</v>
      </c>
      <c r="AU46" s="69">
        <v>45677.0</v>
      </c>
      <c r="AV46" s="70">
        <v>46022.0</v>
      </c>
      <c r="AW46" s="52" t="s">
        <v>1483</v>
      </c>
      <c r="AX46" s="69">
        <v>46934.0</v>
      </c>
      <c r="AY46" s="52">
        <v>345.0</v>
      </c>
      <c r="AZ46" s="52" t="s">
        <v>2312</v>
      </c>
      <c r="BA46" s="73" t="s">
        <v>2313</v>
      </c>
      <c r="BB46" s="69">
        <v>45677.0</v>
      </c>
      <c r="BG46" s="52" t="s">
        <v>2041</v>
      </c>
      <c r="BH46" s="52" t="s">
        <v>264</v>
      </c>
      <c r="BI46" s="52" t="s">
        <v>2027</v>
      </c>
      <c r="BK46" s="52" t="s">
        <v>2010</v>
      </c>
    </row>
    <row r="47">
      <c r="A47" s="52">
        <v>38.0</v>
      </c>
      <c r="B47" s="52" t="s">
        <v>271</v>
      </c>
      <c r="C47" s="52" t="s">
        <v>2005</v>
      </c>
      <c r="D47" s="52">
        <v>1.110550504E9</v>
      </c>
      <c r="E47" s="52" t="s">
        <v>1908</v>
      </c>
      <c r="F47" s="69">
        <v>45670.0</v>
      </c>
      <c r="G47" s="52" t="s">
        <v>273</v>
      </c>
      <c r="H47" s="52" t="s">
        <v>2028</v>
      </c>
      <c r="I47" s="52" t="s">
        <v>2028</v>
      </c>
      <c r="J47" s="52" t="s">
        <v>1478</v>
      </c>
      <c r="K47" s="52" t="s">
        <v>2029</v>
      </c>
      <c r="L47" s="52" t="s">
        <v>2010</v>
      </c>
      <c r="N47" s="52" t="s">
        <v>2010</v>
      </c>
      <c r="O47" s="69">
        <v>45670.0</v>
      </c>
      <c r="P47" s="52" t="s">
        <v>2314</v>
      </c>
      <c r="Q47" s="52" t="s">
        <v>2029</v>
      </c>
      <c r="R47" s="69">
        <v>45670.0</v>
      </c>
      <c r="S47" s="52" t="s">
        <v>2315</v>
      </c>
      <c r="T47" s="52" t="s">
        <v>2013</v>
      </c>
      <c r="U47" s="52" t="s">
        <v>2316</v>
      </c>
      <c r="V47" s="52" t="s">
        <v>581</v>
      </c>
      <c r="W47" s="52" t="s">
        <v>1471</v>
      </c>
      <c r="X47" s="52" t="s">
        <v>583</v>
      </c>
      <c r="Y47" s="52" t="s">
        <v>272</v>
      </c>
      <c r="Z47" s="52" t="s">
        <v>2081</v>
      </c>
      <c r="AA47" s="52" t="s">
        <v>2016</v>
      </c>
      <c r="AB47" s="52" t="s">
        <v>2017</v>
      </c>
      <c r="AC47" s="52" t="s">
        <v>2033</v>
      </c>
      <c r="AD47" s="52" t="s">
        <v>587</v>
      </c>
      <c r="AE47" s="52" t="s">
        <v>2317</v>
      </c>
      <c r="AF47" s="69">
        <v>34571.0</v>
      </c>
      <c r="AG47" s="52">
        <v>31.0</v>
      </c>
      <c r="AH47" s="52" t="s">
        <v>1558</v>
      </c>
      <c r="AI47" s="52" t="s">
        <v>2318</v>
      </c>
      <c r="AJ47" s="52" t="s">
        <v>2319</v>
      </c>
      <c r="AK47" s="52" t="s">
        <v>2022</v>
      </c>
      <c r="AL47" s="52" t="s">
        <v>1559</v>
      </c>
      <c r="AM47" s="52" t="s">
        <v>587</v>
      </c>
      <c r="AN47" s="52" t="s">
        <v>1559</v>
      </c>
      <c r="AO47" s="52" t="s">
        <v>1483</v>
      </c>
      <c r="AP47" s="52">
        <v>4625.0</v>
      </c>
      <c r="AQ47" s="52">
        <v>5025.0</v>
      </c>
      <c r="AR47" s="52" t="s">
        <v>47</v>
      </c>
      <c r="AS47" s="69">
        <v>45672.0</v>
      </c>
      <c r="AT47" s="70">
        <v>46020.0</v>
      </c>
      <c r="AU47" s="69">
        <v>45672.0</v>
      </c>
      <c r="AV47" s="70">
        <v>46020.0</v>
      </c>
      <c r="AW47" s="52" t="s">
        <v>1483</v>
      </c>
      <c r="AX47" s="52" t="s">
        <v>587</v>
      </c>
      <c r="AY47" s="52">
        <v>348.0</v>
      </c>
      <c r="AZ47" s="52" t="s">
        <v>2246</v>
      </c>
      <c r="BA47" s="73" t="s">
        <v>2320</v>
      </c>
      <c r="BB47" s="69">
        <v>45672.0</v>
      </c>
      <c r="BC47" s="52" t="s">
        <v>274</v>
      </c>
      <c r="BD47" s="52">
        <v>5.2328908E7</v>
      </c>
      <c r="BE47" s="52" t="s">
        <v>2321</v>
      </c>
      <c r="BF47" s="52" t="s">
        <v>275</v>
      </c>
      <c r="BG47" s="52" t="s">
        <v>2041</v>
      </c>
      <c r="BH47" s="52" t="s">
        <v>270</v>
      </c>
      <c r="BI47" s="52" t="s">
        <v>2027</v>
      </c>
      <c r="BK47" s="52" t="s">
        <v>2010</v>
      </c>
    </row>
    <row r="48">
      <c r="A48" s="52">
        <v>39.0</v>
      </c>
      <c r="B48" s="52" t="s">
        <v>2322</v>
      </c>
      <c r="C48" s="52" t="s">
        <v>2323</v>
      </c>
      <c r="D48" s="52">
        <v>367422.0</v>
      </c>
      <c r="E48" s="52" t="s">
        <v>1908</v>
      </c>
      <c r="F48" s="69">
        <v>45670.0</v>
      </c>
      <c r="G48" s="52" t="s">
        <v>279</v>
      </c>
      <c r="H48" s="52" t="s">
        <v>2121</v>
      </c>
      <c r="I48" s="52" t="s">
        <v>2121</v>
      </c>
      <c r="J48" s="52" t="s">
        <v>1478</v>
      </c>
      <c r="K48" s="52" t="s">
        <v>2009</v>
      </c>
      <c r="L48" s="52" t="s">
        <v>2010</v>
      </c>
      <c r="N48" s="52" t="s">
        <v>2010</v>
      </c>
      <c r="O48" s="69">
        <v>45668.0</v>
      </c>
      <c r="P48" s="52">
        <v>2.0251400002503E13</v>
      </c>
      <c r="Q48" s="52" t="s">
        <v>2009</v>
      </c>
      <c r="R48" s="69">
        <v>45670.0</v>
      </c>
      <c r="S48" s="52" t="s">
        <v>2324</v>
      </c>
      <c r="T48" s="52" t="s">
        <v>2013</v>
      </c>
      <c r="U48" s="52" t="s">
        <v>2325</v>
      </c>
      <c r="V48" s="52" t="s">
        <v>581</v>
      </c>
      <c r="W48" s="52" t="s">
        <v>1471</v>
      </c>
      <c r="X48" s="52" t="s">
        <v>583</v>
      </c>
      <c r="Y48" s="52" t="s">
        <v>278</v>
      </c>
      <c r="Z48" s="52" t="s">
        <v>2015</v>
      </c>
      <c r="AA48" s="52" t="s">
        <v>2016</v>
      </c>
      <c r="AB48" s="52" t="s">
        <v>2017</v>
      </c>
      <c r="AC48" s="52" t="s">
        <v>2018</v>
      </c>
      <c r="AD48" s="52" t="s">
        <v>587</v>
      </c>
      <c r="AE48" s="52" t="s">
        <v>2326</v>
      </c>
      <c r="AF48" s="69">
        <v>30934.0</v>
      </c>
      <c r="AG48" s="52">
        <v>41.0</v>
      </c>
      <c r="AH48" s="52" t="s">
        <v>1560</v>
      </c>
      <c r="AI48" s="52" t="s">
        <v>2327</v>
      </c>
      <c r="AJ48" s="52" t="s">
        <v>2328</v>
      </c>
      <c r="AK48" s="52" t="s">
        <v>2022</v>
      </c>
      <c r="AL48" s="52" t="s">
        <v>1561</v>
      </c>
      <c r="AM48" s="52" t="s">
        <v>587</v>
      </c>
      <c r="AN48" s="52" t="s">
        <v>1561</v>
      </c>
      <c r="AO48" s="52" t="s">
        <v>1483</v>
      </c>
      <c r="AP48" s="52">
        <v>5125.0</v>
      </c>
      <c r="AQ48" s="52">
        <v>4925.0</v>
      </c>
      <c r="AR48" s="52" t="s">
        <v>111</v>
      </c>
      <c r="AS48" s="69">
        <v>45672.0</v>
      </c>
      <c r="AT48" s="70">
        <v>46020.0</v>
      </c>
      <c r="AU48" s="69">
        <v>45672.0</v>
      </c>
      <c r="AV48" s="70">
        <v>46020.0</v>
      </c>
      <c r="AW48" s="52" t="s">
        <v>1483</v>
      </c>
      <c r="AX48" s="52" t="s">
        <v>587</v>
      </c>
      <c r="AY48" s="52">
        <v>348.0</v>
      </c>
      <c r="AZ48" s="52" t="s">
        <v>2246</v>
      </c>
      <c r="BA48" s="73" t="s">
        <v>2329</v>
      </c>
      <c r="BB48" s="69">
        <v>45672.0</v>
      </c>
      <c r="BC48" s="52" t="s">
        <v>112</v>
      </c>
      <c r="BD48" s="52">
        <v>5.2528698E7</v>
      </c>
      <c r="BE48" s="52" t="s">
        <v>2129</v>
      </c>
      <c r="BF48" s="52" t="s">
        <v>113</v>
      </c>
      <c r="BG48" s="52" t="s">
        <v>2041</v>
      </c>
      <c r="BH48" s="52" t="s">
        <v>276</v>
      </c>
      <c r="BI48" s="52" t="s">
        <v>2027</v>
      </c>
      <c r="BK48" s="52" t="s">
        <v>587</v>
      </c>
    </row>
    <row r="49">
      <c r="A49" s="52">
        <v>40.0</v>
      </c>
      <c r="B49" s="52" t="s">
        <v>281</v>
      </c>
      <c r="C49" s="52" t="s">
        <v>2323</v>
      </c>
      <c r="D49" s="52">
        <v>202634.0</v>
      </c>
      <c r="E49" s="52" t="s">
        <v>1908</v>
      </c>
      <c r="F49" s="69">
        <v>45670.0</v>
      </c>
      <c r="G49" s="52" t="s">
        <v>283</v>
      </c>
      <c r="H49" s="52" t="s">
        <v>2028</v>
      </c>
      <c r="I49" s="52" t="s">
        <v>2028</v>
      </c>
      <c r="J49" s="52" t="s">
        <v>1478</v>
      </c>
      <c r="K49" s="52" t="s">
        <v>2029</v>
      </c>
      <c r="L49" s="52" t="s">
        <v>2010</v>
      </c>
      <c r="N49" s="52" t="s">
        <v>2010</v>
      </c>
      <c r="O49" s="69">
        <v>45670.0</v>
      </c>
      <c r="P49" s="52">
        <v>2.0251100002613E13</v>
      </c>
      <c r="Q49" s="52" t="s">
        <v>2029</v>
      </c>
      <c r="R49" s="69">
        <v>45670.0</v>
      </c>
      <c r="S49" s="52" t="s">
        <v>2330</v>
      </c>
      <c r="T49" s="52" t="s">
        <v>2013</v>
      </c>
      <c r="U49" s="52" t="s">
        <v>2331</v>
      </c>
      <c r="V49" s="52" t="s">
        <v>581</v>
      </c>
      <c r="W49" s="52" t="s">
        <v>1471</v>
      </c>
      <c r="X49" s="52" t="s">
        <v>583</v>
      </c>
      <c r="Y49" s="52" t="s">
        <v>282</v>
      </c>
      <c r="Z49" s="52" t="s">
        <v>2015</v>
      </c>
      <c r="AA49" s="52" t="s">
        <v>2016</v>
      </c>
      <c r="AB49" s="52" t="s">
        <v>2062</v>
      </c>
      <c r="AC49" s="52" t="s">
        <v>2114</v>
      </c>
      <c r="AD49" s="52" t="s">
        <v>587</v>
      </c>
      <c r="AE49" s="52" t="s">
        <v>2332</v>
      </c>
      <c r="AF49" s="69">
        <v>24483.0</v>
      </c>
      <c r="AG49" s="52">
        <v>58.0</v>
      </c>
      <c r="AH49" s="52" t="s">
        <v>1546</v>
      </c>
      <c r="AI49" s="52" t="s">
        <v>2333</v>
      </c>
      <c r="AJ49" s="52" t="s">
        <v>2334</v>
      </c>
      <c r="AK49" s="52" t="s">
        <v>2022</v>
      </c>
      <c r="AL49" s="52" t="s">
        <v>1562</v>
      </c>
      <c r="AM49" s="52" t="s">
        <v>587</v>
      </c>
      <c r="AN49" s="52" t="s">
        <v>1562</v>
      </c>
      <c r="AO49" s="52" t="s">
        <v>1483</v>
      </c>
      <c r="AP49" s="52">
        <v>6625.0</v>
      </c>
      <c r="AQ49" s="52">
        <v>5125.0</v>
      </c>
      <c r="AR49" s="52" t="s">
        <v>47</v>
      </c>
      <c r="AS49" s="69">
        <v>45672.0</v>
      </c>
      <c r="AT49" s="70">
        <v>45975.0</v>
      </c>
      <c r="AU49" s="69">
        <v>45672.0</v>
      </c>
      <c r="AV49" s="70">
        <v>45975.0</v>
      </c>
      <c r="AW49" s="52" t="s">
        <v>1483</v>
      </c>
      <c r="AX49" s="52" t="s">
        <v>587</v>
      </c>
      <c r="AY49" s="52">
        <v>303.0</v>
      </c>
      <c r="AZ49" s="52" t="s">
        <v>2246</v>
      </c>
      <c r="BA49" s="73" t="s">
        <v>2335</v>
      </c>
      <c r="BB49" s="69">
        <v>45672.0</v>
      </c>
      <c r="BC49" s="52" t="s">
        <v>284</v>
      </c>
      <c r="BD49" s="52">
        <v>5.2966718E7</v>
      </c>
      <c r="BE49" s="52" t="s">
        <v>2040</v>
      </c>
      <c r="BF49" s="52" t="s">
        <v>41</v>
      </c>
      <c r="BG49" s="52" t="s">
        <v>2041</v>
      </c>
      <c r="BH49" s="52" t="s">
        <v>280</v>
      </c>
      <c r="BI49" s="52" t="s">
        <v>2027</v>
      </c>
      <c r="BK49" s="52" t="s">
        <v>2010</v>
      </c>
    </row>
    <row r="50">
      <c r="A50" s="52">
        <v>41.0</v>
      </c>
      <c r="B50" s="52" t="s">
        <v>286</v>
      </c>
      <c r="C50" s="52" t="s">
        <v>2005</v>
      </c>
      <c r="D50" s="52">
        <v>1.019089253E9</v>
      </c>
      <c r="E50" s="52" t="s">
        <v>1908</v>
      </c>
      <c r="F50" s="69">
        <v>45673.0</v>
      </c>
      <c r="G50" s="52" t="s">
        <v>288</v>
      </c>
      <c r="H50" s="52" t="s">
        <v>2008</v>
      </c>
      <c r="I50" s="52" t="s">
        <v>2008</v>
      </c>
      <c r="J50" s="52" t="s">
        <v>1470</v>
      </c>
      <c r="K50" s="52" t="s">
        <v>2098</v>
      </c>
      <c r="L50" s="52" t="s">
        <v>2010</v>
      </c>
      <c r="N50" s="52" t="s">
        <v>2010</v>
      </c>
      <c r="O50" s="69">
        <v>45670.0</v>
      </c>
      <c r="P50" s="52">
        <v>2.0251610002543E13</v>
      </c>
      <c r="Q50" s="52" t="s">
        <v>2098</v>
      </c>
      <c r="R50" s="69">
        <v>45670.0</v>
      </c>
      <c r="S50" s="52" t="s">
        <v>2336</v>
      </c>
      <c r="T50" s="52" t="s">
        <v>2013</v>
      </c>
      <c r="U50" s="52" t="s">
        <v>2337</v>
      </c>
      <c r="V50" s="52" t="s">
        <v>581</v>
      </c>
      <c r="W50" s="52" t="s">
        <v>1471</v>
      </c>
      <c r="X50" s="52" t="s">
        <v>583</v>
      </c>
      <c r="Y50" s="52" t="s">
        <v>287</v>
      </c>
      <c r="Z50" s="52" t="s">
        <v>2015</v>
      </c>
      <c r="AA50" s="52" t="s">
        <v>2016</v>
      </c>
      <c r="AB50" s="52" t="s">
        <v>2032</v>
      </c>
      <c r="AC50" s="52" t="s">
        <v>2033</v>
      </c>
      <c r="AD50" s="52" t="s">
        <v>587</v>
      </c>
      <c r="AE50" s="52" t="s">
        <v>2338</v>
      </c>
      <c r="AF50" s="70">
        <v>34282.0</v>
      </c>
      <c r="AG50" s="52">
        <v>32.0</v>
      </c>
      <c r="AH50" s="52" t="s">
        <v>1563</v>
      </c>
      <c r="AI50" s="52" t="s">
        <v>2339</v>
      </c>
      <c r="AJ50" s="52" t="s">
        <v>2340</v>
      </c>
      <c r="AK50" s="52" t="s">
        <v>2022</v>
      </c>
      <c r="AL50" s="52" t="s">
        <v>1564</v>
      </c>
      <c r="AM50" s="52" t="s">
        <v>587</v>
      </c>
      <c r="AN50" s="52" t="s">
        <v>1564</v>
      </c>
      <c r="AO50" s="52" t="s">
        <v>1483</v>
      </c>
      <c r="AP50" s="52">
        <v>8325.0</v>
      </c>
      <c r="AQ50" s="52">
        <v>9125.0</v>
      </c>
      <c r="AR50" s="52" t="s">
        <v>91</v>
      </c>
      <c r="AS50" s="69">
        <v>45678.0</v>
      </c>
      <c r="AT50" s="70">
        <v>46011.0</v>
      </c>
      <c r="AU50" s="69">
        <v>45678.0</v>
      </c>
      <c r="AV50" s="70">
        <v>46011.0</v>
      </c>
      <c r="AW50" s="52" t="s">
        <v>1483</v>
      </c>
      <c r="AX50" s="52" t="s">
        <v>587</v>
      </c>
      <c r="AY50" s="52">
        <v>333.0</v>
      </c>
      <c r="AZ50" s="52" t="s">
        <v>2246</v>
      </c>
      <c r="BA50" s="73" t="s">
        <v>2341</v>
      </c>
      <c r="BB50" s="69">
        <v>45678.0</v>
      </c>
      <c r="BC50" s="52" t="s">
        <v>289</v>
      </c>
      <c r="BD50" s="52">
        <v>5.2170568E7</v>
      </c>
      <c r="BE50" s="52" t="s">
        <v>2342</v>
      </c>
      <c r="BF50" s="52" t="s">
        <v>165</v>
      </c>
      <c r="BG50" s="52" t="s">
        <v>2041</v>
      </c>
      <c r="BH50" s="52" t="s">
        <v>285</v>
      </c>
      <c r="BI50" s="52" t="s">
        <v>2027</v>
      </c>
      <c r="BK50" s="52" t="s">
        <v>2010</v>
      </c>
    </row>
    <row r="51">
      <c r="A51" s="52">
        <v>42.0</v>
      </c>
      <c r="B51" s="52" t="s">
        <v>291</v>
      </c>
      <c r="C51" s="52" t="s">
        <v>2005</v>
      </c>
      <c r="D51" s="52">
        <v>1.014183131E9</v>
      </c>
      <c r="E51" s="52" t="s">
        <v>1908</v>
      </c>
      <c r="F51" s="69">
        <v>45670.0</v>
      </c>
      <c r="G51" s="52" t="s">
        <v>293</v>
      </c>
      <c r="H51" s="52" t="s">
        <v>2008</v>
      </c>
      <c r="I51" s="52" t="s">
        <v>2008</v>
      </c>
      <c r="J51" s="52" t="s">
        <v>1470</v>
      </c>
      <c r="K51" s="52" t="s">
        <v>2098</v>
      </c>
      <c r="L51" s="52" t="s">
        <v>2010</v>
      </c>
      <c r="N51" s="52" t="s">
        <v>2010</v>
      </c>
      <c r="O51" s="69">
        <v>45670.0</v>
      </c>
      <c r="P51" s="52">
        <v>2.0251610002733E13</v>
      </c>
      <c r="Q51" s="52" t="s">
        <v>2098</v>
      </c>
      <c r="R51" s="69">
        <v>45670.0</v>
      </c>
      <c r="S51" s="52" t="s">
        <v>2343</v>
      </c>
      <c r="T51" s="52" t="s">
        <v>2013</v>
      </c>
      <c r="U51" s="52" t="s">
        <v>2344</v>
      </c>
      <c r="V51" s="52" t="s">
        <v>581</v>
      </c>
      <c r="W51" s="52" t="s">
        <v>1471</v>
      </c>
      <c r="X51" s="52" t="s">
        <v>583</v>
      </c>
      <c r="Y51" s="52" t="s">
        <v>292</v>
      </c>
      <c r="Z51" s="52" t="s">
        <v>2015</v>
      </c>
      <c r="AA51" s="52" t="s">
        <v>2016</v>
      </c>
      <c r="AB51" s="52" t="s">
        <v>2062</v>
      </c>
      <c r="AC51" s="52" t="s">
        <v>2082</v>
      </c>
      <c r="AD51" s="52" t="s">
        <v>587</v>
      </c>
      <c r="AE51" s="52" t="s">
        <v>2345</v>
      </c>
      <c r="AF51" s="69">
        <v>31832.0</v>
      </c>
      <c r="AG51" s="52">
        <v>38.0</v>
      </c>
      <c r="AH51" s="52" t="s">
        <v>1565</v>
      </c>
      <c r="AI51" s="52" t="s">
        <v>2346</v>
      </c>
      <c r="AJ51" s="52" t="s">
        <v>2347</v>
      </c>
      <c r="AK51" s="52" t="s">
        <v>2022</v>
      </c>
      <c r="AL51" s="52" t="s">
        <v>1495</v>
      </c>
      <c r="AM51" s="52" t="s">
        <v>587</v>
      </c>
      <c r="AN51" s="52" t="s">
        <v>1495</v>
      </c>
      <c r="AO51" s="52" t="s">
        <v>1483</v>
      </c>
      <c r="AP51" s="52">
        <v>8925.0</v>
      </c>
      <c r="AQ51" s="52">
        <v>4825.0</v>
      </c>
      <c r="AR51" s="52" t="s">
        <v>91</v>
      </c>
      <c r="AS51" s="69">
        <v>45672.0</v>
      </c>
      <c r="AT51" s="70">
        <v>46010.0</v>
      </c>
      <c r="AU51" s="69">
        <v>45672.0</v>
      </c>
      <c r="AV51" s="70">
        <v>46020.0</v>
      </c>
      <c r="AW51" s="52" t="s">
        <v>1483</v>
      </c>
      <c r="AX51" s="52" t="s">
        <v>587</v>
      </c>
      <c r="AY51" s="52">
        <v>348.0</v>
      </c>
      <c r="AZ51" s="52" t="s">
        <v>2246</v>
      </c>
      <c r="BA51" s="73" t="s">
        <v>2348</v>
      </c>
      <c r="BB51" s="69">
        <v>45672.0</v>
      </c>
      <c r="BC51" s="52" t="s">
        <v>92</v>
      </c>
      <c r="BD51" s="52">
        <v>1.013664334E9</v>
      </c>
      <c r="BE51" s="52" t="s">
        <v>2104</v>
      </c>
      <c r="BF51" s="52" t="s">
        <v>165</v>
      </c>
      <c r="BG51" s="52" t="s">
        <v>2041</v>
      </c>
      <c r="BH51" s="52" t="s">
        <v>290</v>
      </c>
      <c r="BI51" s="52" t="s">
        <v>2027</v>
      </c>
      <c r="BK51" s="52" t="s">
        <v>2010</v>
      </c>
    </row>
    <row r="52">
      <c r="A52" s="52">
        <v>43.0</v>
      </c>
      <c r="B52" s="52" t="s">
        <v>296</v>
      </c>
      <c r="C52" s="52" t="s">
        <v>2005</v>
      </c>
      <c r="D52" s="52">
        <v>1.004754082E9</v>
      </c>
      <c r="E52" s="52" t="s">
        <v>1908</v>
      </c>
      <c r="F52" s="69">
        <v>45670.0</v>
      </c>
      <c r="G52" s="52" t="s">
        <v>298</v>
      </c>
      <c r="H52" s="52" t="s">
        <v>2008</v>
      </c>
      <c r="I52" s="52" t="s">
        <v>2008</v>
      </c>
      <c r="J52" s="52" t="s">
        <v>1470</v>
      </c>
      <c r="K52" s="52" t="s">
        <v>2098</v>
      </c>
      <c r="L52" s="52" t="s">
        <v>2010</v>
      </c>
      <c r="N52" s="52" t="s">
        <v>2010</v>
      </c>
      <c r="O52" s="69">
        <v>45670.0</v>
      </c>
      <c r="P52" s="52">
        <v>2.0251610002743E13</v>
      </c>
      <c r="Q52" s="52" t="s">
        <v>2098</v>
      </c>
      <c r="R52" s="69">
        <v>45670.0</v>
      </c>
      <c r="S52" s="52" t="s">
        <v>2349</v>
      </c>
      <c r="T52" s="52" t="s">
        <v>2013</v>
      </c>
      <c r="U52" s="52" t="s">
        <v>2350</v>
      </c>
      <c r="V52" s="52" t="s">
        <v>581</v>
      </c>
      <c r="W52" s="52" t="s">
        <v>1471</v>
      </c>
      <c r="X52" s="52" t="s">
        <v>583</v>
      </c>
      <c r="Y52" s="52" t="s">
        <v>297</v>
      </c>
      <c r="AA52" s="52" t="s">
        <v>2016</v>
      </c>
      <c r="AB52" s="52" t="s">
        <v>2062</v>
      </c>
      <c r="AC52" s="52" t="s">
        <v>2054</v>
      </c>
      <c r="AD52" s="52" t="s">
        <v>587</v>
      </c>
      <c r="AE52" s="52" t="s">
        <v>2351</v>
      </c>
      <c r="AF52" s="69">
        <v>36939.0</v>
      </c>
      <c r="AG52" s="52">
        <v>24.0</v>
      </c>
      <c r="AH52" s="52" t="s">
        <v>1526</v>
      </c>
      <c r="AI52" s="52" t="s">
        <v>2352</v>
      </c>
      <c r="AJ52" s="52" t="s">
        <v>2353</v>
      </c>
      <c r="AK52" s="52" t="s">
        <v>2022</v>
      </c>
      <c r="AL52" s="52" t="s">
        <v>1537</v>
      </c>
      <c r="AM52" s="52" t="s">
        <v>587</v>
      </c>
      <c r="AN52" s="52" t="s">
        <v>1537</v>
      </c>
      <c r="AO52" s="52" t="s">
        <v>1483</v>
      </c>
      <c r="AP52" s="52">
        <v>9125.0</v>
      </c>
      <c r="AQ52" s="52">
        <v>4725.0</v>
      </c>
      <c r="AR52" s="52" t="s">
        <v>91</v>
      </c>
      <c r="AS52" s="69">
        <v>45672.0</v>
      </c>
      <c r="AT52" s="70">
        <v>46005.0</v>
      </c>
      <c r="AU52" s="69">
        <v>45672.0</v>
      </c>
      <c r="AV52" s="70">
        <v>46005.0</v>
      </c>
      <c r="AW52" s="52" t="s">
        <v>1483</v>
      </c>
      <c r="AX52" s="52" t="s">
        <v>587</v>
      </c>
      <c r="AY52" s="52">
        <v>333.0</v>
      </c>
      <c r="AZ52" s="52" t="s">
        <v>2246</v>
      </c>
      <c r="BA52" s="73" t="s">
        <v>2354</v>
      </c>
      <c r="BB52" s="69">
        <v>45672.0</v>
      </c>
      <c r="BC52" s="52" t="s">
        <v>170</v>
      </c>
      <c r="BD52" s="69">
        <v>1.3923899E7</v>
      </c>
      <c r="BE52" s="52" t="s">
        <v>2206</v>
      </c>
      <c r="BF52" s="52" t="s">
        <v>93</v>
      </c>
      <c r="BG52" s="52" t="s">
        <v>2041</v>
      </c>
      <c r="BH52" s="52" t="s">
        <v>295</v>
      </c>
      <c r="BI52" s="52" t="s">
        <v>2027</v>
      </c>
      <c r="BK52" s="52" t="s">
        <v>2010</v>
      </c>
    </row>
    <row r="53">
      <c r="A53" s="52">
        <v>44.0</v>
      </c>
      <c r="B53" s="52" t="s">
        <v>300</v>
      </c>
      <c r="C53" s="52" t="s">
        <v>2005</v>
      </c>
      <c r="D53" s="52">
        <v>1.052408723E9</v>
      </c>
      <c r="E53" s="52" t="s">
        <v>1908</v>
      </c>
      <c r="F53" s="69">
        <v>45672.0</v>
      </c>
      <c r="G53" s="52" t="s">
        <v>302</v>
      </c>
      <c r="H53" s="52" t="s">
        <v>2121</v>
      </c>
      <c r="I53" s="52" t="s">
        <v>2121</v>
      </c>
      <c r="J53" s="52" t="s">
        <v>1478</v>
      </c>
      <c r="K53" s="52" t="s">
        <v>2009</v>
      </c>
      <c r="L53" s="52" t="s">
        <v>2010</v>
      </c>
      <c r="N53" s="52" t="s">
        <v>2010</v>
      </c>
      <c r="O53" s="69">
        <v>45670.0</v>
      </c>
      <c r="P53" s="52" t="s">
        <v>2355</v>
      </c>
      <c r="Q53" s="52" t="s">
        <v>2009</v>
      </c>
      <c r="R53" s="52" t="s">
        <v>2356</v>
      </c>
      <c r="S53" s="52" t="s">
        <v>2357</v>
      </c>
      <c r="T53" s="52" t="s">
        <v>2013</v>
      </c>
      <c r="U53" s="52" t="s">
        <v>2358</v>
      </c>
      <c r="V53" s="52" t="s">
        <v>581</v>
      </c>
      <c r="W53" s="52" t="s">
        <v>1471</v>
      </c>
      <c r="X53" s="52" t="s">
        <v>583</v>
      </c>
      <c r="Y53" s="52" t="s">
        <v>301</v>
      </c>
      <c r="Z53" s="52" t="s">
        <v>2081</v>
      </c>
      <c r="AA53" s="52" t="s">
        <v>2054</v>
      </c>
      <c r="AB53" s="52" t="s">
        <v>2032</v>
      </c>
      <c r="AC53" s="52" t="s">
        <v>2082</v>
      </c>
      <c r="AD53" s="52" t="s">
        <v>587</v>
      </c>
      <c r="AE53" s="52" t="s">
        <v>2359</v>
      </c>
      <c r="AF53" s="70">
        <v>35406.0</v>
      </c>
      <c r="AG53" s="52">
        <v>29.0</v>
      </c>
      <c r="AH53" s="52" t="s">
        <v>1566</v>
      </c>
      <c r="AI53" s="52" t="s">
        <v>2360</v>
      </c>
      <c r="AJ53" s="52" t="s">
        <v>2361</v>
      </c>
      <c r="AK53" s="52" t="s">
        <v>2022</v>
      </c>
      <c r="AL53" s="52" t="s">
        <v>1567</v>
      </c>
      <c r="AM53" s="52" t="s">
        <v>587</v>
      </c>
      <c r="AN53" s="52" t="s">
        <v>1567</v>
      </c>
      <c r="AO53" s="52" t="s">
        <v>1483</v>
      </c>
      <c r="AP53" s="52">
        <v>4825.0</v>
      </c>
      <c r="AQ53" s="52">
        <v>6325.0</v>
      </c>
      <c r="AR53" s="52" t="s">
        <v>111</v>
      </c>
      <c r="AS53" s="69">
        <v>45673.0</v>
      </c>
      <c r="AT53" s="70">
        <v>46022.0</v>
      </c>
      <c r="AU53" s="69">
        <v>45674.0</v>
      </c>
      <c r="AV53" s="70">
        <v>46022.0</v>
      </c>
      <c r="AW53" s="52" t="s">
        <v>1483</v>
      </c>
      <c r="AX53" s="52" t="s">
        <v>587</v>
      </c>
      <c r="AY53" s="52">
        <v>348.0</v>
      </c>
      <c r="AZ53" s="52" t="s">
        <v>2246</v>
      </c>
      <c r="BA53" s="73" t="s">
        <v>2362</v>
      </c>
      <c r="BB53" s="69">
        <v>45674.0</v>
      </c>
      <c r="BC53" s="52" t="s">
        <v>112</v>
      </c>
      <c r="BD53" s="52">
        <v>5.2528698E7</v>
      </c>
      <c r="BE53" s="52" t="s">
        <v>2129</v>
      </c>
      <c r="BF53" s="52" t="s">
        <v>113</v>
      </c>
      <c r="BG53" s="52" t="s">
        <v>2041</v>
      </c>
      <c r="BH53" s="52" t="s">
        <v>299</v>
      </c>
      <c r="BI53" s="52" t="s">
        <v>2027</v>
      </c>
      <c r="BK53" s="52" t="s">
        <v>2010</v>
      </c>
    </row>
    <row r="54">
      <c r="A54" s="52">
        <v>45.0</v>
      </c>
      <c r="B54" s="52" t="s">
        <v>304</v>
      </c>
      <c r="C54" s="52" t="s">
        <v>2005</v>
      </c>
      <c r="D54" s="52">
        <v>5.2713391E7</v>
      </c>
      <c r="E54" s="52" t="s">
        <v>1908</v>
      </c>
      <c r="F54" s="69">
        <v>45671.0</v>
      </c>
      <c r="G54" s="52" t="s">
        <v>306</v>
      </c>
      <c r="H54" s="52" t="s">
        <v>2363</v>
      </c>
      <c r="I54" s="52" t="s">
        <v>2028</v>
      </c>
      <c r="J54" s="52" t="s">
        <v>1478</v>
      </c>
      <c r="K54" s="52" t="s">
        <v>2029</v>
      </c>
      <c r="L54" s="52" t="s">
        <v>2010</v>
      </c>
      <c r="N54" s="52" t="s">
        <v>2010</v>
      </c>
      <c r="O54" s="69">
        <v>45671.0</v>
      </c>
      <c r="P54" s="52">
        <v>2.0251130003033E13</v>
      </c>
      <c r="Q54" s="52" t="s">
        <v>2029</v>
      </c>
      <c r="R54" s="69">
        <v>45671.0</v>
      </c>
      <c r="S54" s="52" t="s">
        <v>2364</v>
      </c>
      <c r="T54" s="52" t="s">
        <v>2013</v>
      </c>
      <c r="U54" s="52" t="s">
        <v>2365</v>
      </c>
      <c r="V54" s="52" t="s">
        <v>581</v>
      </c>
      <c r="W54" s="52" t="s">
        <v>1471</v>
      </c>
      <c r="X54" s="52" t="s">
        <v>583</v>
      </c>
      <c r="Y54" s="52" t="s">
        <v>305</v>
      </c>
      <c r="Z54" s="52" t="s">
        <v>2015</v>
      </c>
      <c r="AA54" s="52" t="s">
        <v>2016</v>
      </c>
      <c r="AB54" s="52" t="s">
        <v>2062</v>
      </c>
      <c r="AC54" s="52" t="s">
        <v>2054</v>
      </c>
      <c r="AD54" s="52" t="s">
        <v>587</v>
      </c>
      <c r="AE54" s="52" t="s">
        <v>2093</v>
      </c>
      <c r="AF54" s="69">
        <v>29713.0</v>
      </c>
      <c r="AG54" s="52">
        <v>44.0</v>
      </c>
      <c r="AH54" s="52" t="s">
        <v>1568</v>
      </c>
      <c r="AI54" s="52" t="s">
        <v>2366</v>
      </c>
      <c r="AJ54" s="52" t="s">
        <v>2367</v>
      </c>
      <c r="AK54" s="52" t="s">
        <v>2022</v>
      </c>
      <c r="AL54" s="52" t="s">
        <v>1569</v>
      </c>
      <c r="AM54" s="52" t="s">
        <v>587</v>
      </c>
      <c r="AN54" s="52" t="s">
        <v>1569</v>
      </c>
      <c r="AO54" s="52" t="s">
        <v>1483</v>
      </c>
      <c r="AP54" s="52">
        <v>5025.0</v>
      </c>
      <c r="AQ54" s="52">
        <v>5325.0</v>
      </c>
      <c r="AR54" s="52" t="s">
        <v>47</v>
      </c>
      <c r="AS54" s="69">
        <v>45672.0</v>
      </c>
      <c r="AT54" s="69">
        <v>45929.0</v>
      </c>
      <c r="AU54" s="69">
        <v>45672.0</v>
      </c>
      <c r="AV54" s="69">
        <v>45929.0</v>
      </c>
      <c r="AW54" s="52" t="s">
        <v>1483</v>
      </c>
      <c r="AX54" s="52" t="s">
        <v>587</v>
      </c>
      <c r="AY54" s="52">
        <v>257.0</v>
      </c>
      <c r="AZ54" s="52" t="s">
        <v>2010</v>
      </c>
      <c r="BA54" s="73" t="s">
        <v>2368</v>
      </c>
      <c r="BB54" s="69">
        <v>45672.0</v>
      </c>
      <c r="BC54" s="52" t="s">
        <v>307</v>
      </c>
      <c r="BD54" s="52">
        <v>5.2328908E7</v>
      </c>
      <c r="BE54" s="52" t="s">
        <v>2321</v>
      </c>
      <c r="BF54" s="52" t="s">
        <v>308</v>
      </c>
      <c r="BG54" s="52" t="s">
        <v>2041</v>
      </c>
      <c r="BH54" s="52" t="s">
        <v>303</v>
      </c>
      <c r="BI54" s="52" t="s">
        <v>2027</v>
      </c>
      <c r="BK54" s="52" t="s">
        <v>2010</v>
      </c>
    </row>
    <row r="55">
      <c r="A55" s="52">
        <v>46.0</v>
      </c>
      <c r="B55" s="52" t="s">
        <v>310</v>
      </c>
      <c r="C55" s="52" t="s">
        <v>2005</v>
      </c>
      <c r="D55" s="52">
        <v>1.08829271E9</v>
      </c>
      <c r="E55" s="52" t="s">
        <v>1908</v>
      </c>
      <c r="F55" s="69">
        <v>45671.0</v>
      </c>
      <c r="G55" s="52" t="s">
        <v>312</v>
      </c>
      <c r="H55" s="52" t="s">
        <v>2008</v>
      </c>
      <c r="I55" s="52" t="s">
        <v>2008</v>
      </c>
      <c r="J55" s="52" t="s">
        <v>1478</v>
      </c>
      <c r="K55" s="52" t="s">
        <v>2098</v>
      </c>
      <c r="L55" s="52" t="s">
        <v>2010</v>
      </c>
      <c r="N55" s="52" t="s">
        <v>2010</v>
      </c>
      <c r="O55" s="69">
        <v>45671.0</v>
      </c>
      <c r="P55" s="52">
        <v>2.0251610003053E13</v>
      </c>
      <c r="Q55" s="52" t="s">
        <v>2098</v>
      </c>
      <c r="R55" s="69">
        <v>45671.0</v>
      </c>
      <c r="S55" s="52" t="s">
        <v>2369</v>
      </c>
      <c r="T55" s="52" t="s">
        <v>2013</v>
      </c>
      <c r="U55" s="52" t="s">
        <v>2370</v>
      </c>
      <c r="V55" s="52" t="s">
        <v>581</v>
      </c>
      <c r="W55" s="52" t="s">
        <v>1471</v>
      </c>
      <c r="X55" s="52" t="s">
        <v>583</v>
      </c>
      <c r="Y55" s="52" t="s">
        <v>1571</v>
      </c>
      <c r="Z55" s="52" t="s">
        <v>2081</v>
      </c>
      <c r="AA55" s="52" t="s">
        <v>2016</v>
      </c>
      <c r="AB55" s="52" t="s">
        <v>2032</v>
      </c>
      <c r="AC55" s="52" t="s">
        <v>2082</v>
      </c>
      <c r="AD55" s="52" t="s">
        <v>587</v>
      </c>
      <c r="AE55" s="52" t="s">
        <v>2093</v>
      </c>
      <c r="AF55" s="69">
        <v>33504.0</v>
      </c>
      <c r="AG55" s="52">
        <v>34.0</v>
      </c>
      <c r="AH55" s="52" t="s">
        <v>1570</v>
      </c>
      <c r="AI55" s="52" t="s">
        <v>2371</v>
      </c>
      <c r="AJ55" s="52" t="s">
        <v>2372</v>
      </c>
      <c r="AK55" s="52" t="s">
        <v>2022</v>
      </c>
      <c r="AL55" s="52" t="s">
        <v>1572</v>
      </c>
      <c r="AM55" s="52" t="s">
        <v>587</v>
      </c>
      <c r="AN55" s="52" t="s">
        <v>1572</v>
      </c>
      <c r="AO55" s="52" t="s">
        <v>1483</v>
      </c>
      <c r="AP55" s="52">
        <v>8725.0</v>
      </c>
      <c r="AQ55" s="52">
        <v>5625.0</v>
      </c>
      <c r="AR55" s="52" t="s">
        <v>313</v>
      </c>
      <c r="AS55" s="69">
        <v>45672.0</v>
      </c>
      <c r="AT55" s="70">
        <v>46020.0</v>
      </c>
      <c r="AU55" s="69">
        <v>45672.0</v>
      </c>
      <c r="AV55" s="70">
        <v>46020.0</v>
      </c>
      <c r="AW55" s="52" t="s">
        <v>1483</v>
      </c>
      <c r="AX55" s="52" t="s">
        <v>587</v>
      </c>
      <c r="AY55" s="52">
        <v>348.0</v>
      </c>
      <c r="AZ55" s="52" t="s">
        <v>2246</v>
      </c>
      <c r="BA55" s="73" t="s">
        <v>2373</v>
      </c>
      <c r="BB55" s="69">
        <v>45672.0</v>
      </c>
      <c r="BC55" s="52" t="s">
        <v>92</v>
      </c>
      <c r="BD55" s="52">
        <v>1.013664334E9</v>
      </c>
      <c r="BE55" s="52" t="s">
        <v>2104</v>
      </c>
      <c r="BF55" s="52" t="s">
        <v>165</v>
      </c>
      <c r="BG55" s="52" t="s">
        <v>2041</v>
      </c>
      <c r="BH55" s="52" t="s">
        <v>309</v>
      </c>
      <c r="BI55" s="52" t="s">
        <v>2027</v>
      </c>
      <c r="BK55" s="52" t="s">
        <v>2010</v>
      </c>
    </row>
    <row r="56">
      <c r="A56" s="52">
        <v>47.0</v>
      </c>
      <c r="B56" s="52" t="s">
        <v>315</v>
      </c>
      <c r="C56" s="52" t="s">
        <v>2005</v>
      </c>
      <c r="D56" s="52">
        <v>1.019009968E9</v>
      </c>
      <c r="E56" s="52" t="s">
        <v>1908</v>
      </c>
      <c r="F56" s="69">
        <v>45671.0</v>
      </c>
      <c r="G56" s="52" t="s">
        <v>317</v>
      </c>
      <c r="H56" s="52" t="s">
        <v>2008</v>
      </c>
      <c r="I56" s="52" t="s">
        <v>2008</v>
      </c>
      <c r="J56" s="52" t="s">
        <v>1478</v>
      </c>
      <c r="K56" s="52" t="s">
        <v>2098</v>
      </c>
      <c r="L56" s="52" t="s">
        <v>2010</v>
      </c>
      <c r="N56" s="52" t="s">
        <v>2010</v>
      </c>
      <c r="O56" s="69">
        <v>45671.0</v>
      </c>
      <c r="P56" s="52">
        <v>2.0251610003073E13</v>
      </c>
      <c r="Q56" s="52" t="s">
        <v>2098</v>
      </c>
      <c r="R56" s="69">
        <v>45671.0</v>
      </c>
      <c r="S56" s="52" t="s">
        <v>2374</v>
      </c>
      <c r="T56" s="52" t="s">
        <v>2013</v>
      </c>
      <c r="U56" s="52" t="s">
        <v>2375</v>
      </c>
      <c r="V56" s="52" t="s">
        <v>581</v>
      </c>
      <c r="W56" s="52" t="s">
        <v>1471</v>
      </c>
      <c r="X56" s="52" t="s">
        <v>583</v>
      </c>
      <c r="Y56" s="52" t="s">
        <v>316</v>
      </c>
      <c r="Z56" s="52" t="s">
        <v>2015</v>
      </c>
      <c r="AA56" s="52" t="s">
        <v>2016</v>
      </c>
      <c r="AB56" s="52" t="s">
        <v>2017</v>
      </c>
      <c r="AC56" s="52" t="s">
        <v>2054</v>
      </c>
      <c r="AD56" s="52" t="s">
        <v>587</v>
      </c>
      <c r="AE56" s="52" t="s">
        <v>2093</v>
      </c>
      <c r="AF56" s="70">
        <v>31719.0</v>
      </c>
      <c r="AG56" s="52">
        <v>39.0</v>
      </c>
      <c r="AH56" s="52" t="s">
        <v>1573</v>
      </c>
      <c r="AI56" s="52" t="s">
        <v>2376</v>
      </c>
      <c r="AJ56" s="52" t="s">
        <v>2377</v>
      </c>
      <c r="AK56" s="52" t="s">
        <v>2022</v>
      </c>
      <c r="AL56" s="52" t="s">
        <v>1574</v>
      </c>
      <c r="AM56" s="52" t="s">
        <v>1575</v>
      </c>
      <c r="AN56" s="52" t="s">
        <v>1576</v>
      </c>
      <c r="AO56" s="52" t="s">
        <v>1483</v>
      </c>
      <c r="AP56" s="52">
        <v>8825.0</v>
      </c>
      <c r="AQ56" s="52">
        <v>5425.0</v>
      </c>
      <c r="AR56" s="52" t="s">
        <v>313</v>
      </c>
      <c r="AS56" s="69">
        <v>45672.0</v>
      </c>
      <c r="AT56" s="70">
        <v>46002.0</v>
      </c>
      <c r="AU56" s="69">
        <v>45672.0</v>
      </c>
      <c r="AV56" s="70">
        <v>46002.0</v>
      </c>
      <c r="AW56" s="52" t="s">
        <v>1483</v>
      </c>
      <c r="AX56" s="52" t="s">
        <v>587</v>
      </c>
      <c r="AY56" s="52">
        <v>330.0</v>
      </c>
      <c r="AZ56" s="52" t="s">
        <v>2378</v>
      </c>
      <c r="BA56" s="73" t="s">
        <v>2379</v>
      </c>
      <c r="BB56" s="69">
        <v>45672.0</v>
      </c>
      <c r="BC56" s="52" t="s">
        <v>318</v>
      </c>
      <c r="BD56" s="70">
        <v>2.7805174E7</v>
      </c>
      <c r="BE56" s="52" t="s">
        <v>2380</v>
      </c>
      <c r="BF56" s="52" t="s">
        <v>319</v>
      </c>
      <c r="BG56" s="52" t="s">
        <v>2041</v>
      </c>
      <c r="BH56" s="52" t="s">
        <v>314</v>
      </c>
      <c r="BI56" s="52" t="s">
        <v>2027</v>
      </c>
      <c r="BK56" s="52" t="s">
        <v>2010</v>
      </c>
    </row>
    <row r="57">
      <c r="A57" s="52">
        <v>48.0</v>
      </c>
      <c r="B57" s="52" t="s">
        <v>321</v>
      </c>
      <c r="C57" s="52" t="s">
        <v>2005</v>
      </c>
      <c r="D57" s="52">
        <v>5.2866537E7</v>
      </c>
      <c r="E57" s="52" t="s">
        <v>1908</v>
      </c>
      <c r="F57" s="69">
        <v>45671.0</v>
      </c>
      <c r="G57" s="52" t="s">
        <v>323</v>
      </c>
      <c r="H57" s="52" t="s">
        <v>2008</v>
      </c>
      <c r="I57" s="52" t="s">
        <v>2008</v>
      </c>
      <c r="J57" s="52" t="s">
        <v>1478</v>
      </c>
      <c r="K57" s="52" t="s">
        <v>2098</v>
      </c>
      <c r="L57" s="52" t="s">
        <v>2010</v>
      </c>
      <c r="N57" s="52" t="s">
        <v>2010</v>
      </c>
      <c r="O57" s="69">
        <v>45671.0</v>
      </c>
      <c r="P57" s="52">
        <v>2.0251610003063E13</v>
      </c>
      <c r="Q57" s="52" t="s">
        <v>2098</v>
      </c>
      <c r="R57" s="69">
        <v>45671.0</v>
      </c>
      <c r="S57" s="52" t="s">
        <v>2381</v>
      </c>
      <c r="T57" s="52" t="s">
        <v>2013</v>
      </c>
      <c r="U57" s="52" t="s">
        <v>2382</v>
      </c>
      <c r="V57" s="52" t="s">
        <v>581</v>
      </c>
      <c r="W57" s="52" t="s">
        <v>1471</v>
      </c>
      <c r="X57" s="52" t="s">
        <v>583</v>
      </c>
      <c r="Y57" s="52" t="s">
        <v>322</v>
      </c>
      <c r="Z57" s="52" t="s">
        <v>2015</v>
      </c>
      <c r="AA57" s="52" t="s">
        <v>2016</v>
      </c>
      <c r="AB57" s="52" t="s">
        <v>2383</v>
      </c>
      <c r="AC57" s="52" t="s">
        <v>2033</v>
      </c>
      <c r="AD57" s="52" t="s">
        <v>587</v>
      </c>
      <c r="AE57" s="52" t="s">
        <v>2093</v>
      </c>
      <c r="AF57" s="69">
        <v>30072.0</v>
      </c>
      <c r="AG57" s="52">
        <v>43.0</v>
      </c>
      <c r="AH57" s="52" t="s">
        <v>1577</v>
      </c>
      <c r="AI57" s="52" t="s">
        <v>2384</v>
      </c>
      <c r="AJ57" s="52" t="s">
        <v>2385</v>
      </c>
      <c r="AK57" s="52" t="s">
        <v>2022</v>
      </c>
      <c r="AL57" s="52" t="s">
        <v>1578</v>
      </c>
      <c r="AM57" s="52" t="s">
        <v>587</v>
      </c>
      <c r="AN57" s="52" t="s">
        <v>1578</v>
      </c>
      <c r="AO57" s="52" t="s">
        <v>1483</v>
      </c>
      <c r="AP57" s="52">
        <v>8525.0</v>
      </c>
      <c r="AQ57" s="52">
        <v>5525.0</v>
      </c>
      <c r="AR57" s="52" t="s">
        <v>313</v>
      </c>
      <c r="AS57" s="69">
        <v>45672.0</v>
      </c>
      <c r="AT57" s="70">
        <v>46020.0</v>
      </c>
      <c r="AU57" s="69">
        <v>45672.0</v>
      </c>
      <c r="AV57" s="70">
        <v>46020.0</v>
      </c>
      <c r="AW57" s="52" t="s">
        <v>1483</v>
      </c>
      <c r="AX57" s="52" t="s">
        <v>587</v>
      </c>
      <c r="AY57" s="52">
        <v>348.0</v>
      </c>
      <c r="AZ57" s="52" t="s">
        <v>2378</v>
      </c>
      <c r="BA57" s="73" t="s">
        <v>2386</v>
      </c>
      <c r="BB57" s="69">
        <v>45672.0</v>
      </c>
      <c r="BC57" s="52" t="s">
        <v>318</v>
      </c>
      <c r="BD57" s="70">
        <v>2.7805174E7</v>
      </c>
      <c r="BE57" s="52" t="s">
        <v>2380</v>
      </c>
      <c r="BF57" s="52" t="s">
        <v>319</v>
      </c>
      <c r="BG57" s="52" t="s">
        <v>2041</v>
      </c>
      <c r="BH57" s="52" t="s">
        <v>320</v>
      </c>
      <c r="BI57" s="52" t="s">
        <v>2027</v>
      </c>
      <c r="BK57" s="52" t="s">
        <v>2010</v>
      </c>
    </row>
    <row r="58">
      <c r="A58" s="52">
        <v>49.0</v>
      </c>
      <c r="B58" s="52" t="s">
        <v>325</v>
      </c>
      <c r="C58" s="52" t="s">
        <v>2005</v>
      </c>
      <c r="D58" s="52">
        <v>1.152693194E9</v>
      </c>
      <c r="E58" s="52" t="s">
        <v>1908</v>
      </c>
      <c r="F58" s="69">
        <v>45671.0</v>
      </c>
      <c r="G58" s="52" t="s">
        <v>327</v>
      </c>
      <c r="H58" s="52" t="s">
        <v>1579</v>
      </c>
      <c r="I58" s="52" t="s">
        <v>2008</v>
      </c>
      <c r="J58" s="52" t="s">
        <v>1470</v>
      </c>
      <c r="K58" s="52" t="s">
        <v>2098</v>
      </c>
      <c r="L58" s="52" t="s">
        <v>2010</v>
      </c>
      <c r="N58" s="52" t="s">
        <v>2010</v>
      </c>
      <c r="O58" s="69">
        <v>45671.0</v>
      </c>
      <c r="P58" s="52">
        <v>2.0251610003043E13</v>
      </c>
      <c r="Q58" s="52" t="s">
        <v>2098</v>
      </c>
      <c r="R58" s="69">
        <v>45671.0</v>
      </c>
      <c r="S58" s="52" t="s">
        <v>2387</v>
      </c>
      <c r="T58" s="52" t="s">
        <v>2013</v>
      </c>
      <c r="U58" s="52" t="s">
        <v>2388</v>
      </c>
      <c r="V58" s="52" t="s">
        <v>581</v>
      </c>
      <c r="W58" s="52" t="s">
        <v>1471</v>
      </c>
      <c r="X58" s="52" t="s">
        <v>583</v>
      </c>
      <c r="Y58" s="52" t="s">
        <v>326</v>
      </c>
      <c r="Z58" s="52" t="s">
        <v>2081</v>
      </c>
      <c r="AA58" s="52" t="s">
        <v>2016</v>
      </c>
      <c r="AB58" s="52" t="s">
        <v>2062</v>
      </c>
      <c r="AC58" s="52" t="s">
        <v>2389</v>
      </c>
      <c r="AD58" s="52" t="s">
        <v>587</v>
      </c>
      <c r="AE58" s="52" t="s">
        <v>2390</v>
      </c>
      <c r="AF58" s="70">
        <v>34271.0</v>
      </c>
      <c r="AG58" s="52">
        <v>32.0</v>
      </c>
      <c r="AH58" s="52" t="s">
        <v>1472</v>
      </c>
      <c r="AI58" s="52" t="s">
        <v>2391</v>
      </c>
      <c r="AJ58" s="52" t="s">
        <v>2392</v>
      </c>
      <c r="AK58" s="52" t="s">
        <v>2022</v>
      </c>
      <c r="AL58" s="52" t="s">
        <v>1580</v>
      </c>
      <c r="AM58" s="52" t="s">
        <v>587</v>
      </c>
      <c r="AN58" s="52" t="s">
        <v>1580</v>
      </c>
      <c r="AO58" s="52" t="s">
        <v>1483</v>
      </c>
      <c r="AP58" s="52">
        <v>8425.0</v>
      </c>
      <c r="AQ58" s="52">
        <v>5225.0</v>
      </c>
      <c r="AR58" s="52" t="s">
        <v>38</v>
      </c>
      <c r="AS58" s="69">
        <v>45672.0</v>
      </c>
      <c r="AT58" s="70">
        <v>46020.0</v>
      </c>
      <c r="AU58" s="69">
        <v>45672.0</v>
      </c>
      <c r="AV58" s="70">
        <v>46020.0</v>
      </c>
      <c r="AW58" s="52" t="s">
        <v>1483</v>
      </c>
      <c r="AX58" s="52" t="s">
        <v>587</v>
      </c>
      <c r="AY58" s="52">
        <v>348.0</v>
      </c>
      <c r="AZ58" s="52" t="s">
        <v>2378</v>
      </c>
      <c r="BA58" s="73" t="s">
        <v>2393</v>
      </c>
      <c r="BB58" s="69">
        <v>45672.0</v>
      </c>
      <c r="BC58" s="52" t="s">
        <v>328</v>
      </c>
      <c r="BD58" s="52">
        <v>1.016024615E9</v>
      </c>
      <c r="BE58" s="52" t="s">
        <v>2212</v>
      </c>
      <c r="BF58" s="52" t="s">
        <v>176</v>
      </c>
      <c r="BG58" s="52" t="s">
        <v>2041</v>
      </c>
      <c r="BH58" s="52" t="s">
        <v>324</v>
      </c>
      <c r="BI58" s="52" t="s">
        <v>2027</v>
      </c>
      <c r="BK58" s="52" t="s">
        <v>2010</v>
      </c>
    </row>
    <row r="59">
      <c r="A59" s="52">
        <v>50.0</v>
      </c>
      <c r="B59" s="52" t="s">
        <v>330</v>
      </c>
      <c r="C59" s="52" t="s">
        <v>2005</v>
      </c>
      <c r="D59" s="52">
        <v>1.003691415E9</v>
      </c>
      <c r="E59" s="52" t="s">
        <v>1908</v>
      </c>
      <c r="F59" s="69">
        <v>45673.0</v>
      </c>
      <c r="G59" s="52" t="s">
        <v>332</v>
      </c>
      <c r="H59" s="52" t="s">
        <v>2299</v>
      </c>
      <c r="I59" s="52" t="s">
        <v>2299</v>
      </c>
      <c r="J59" s="52" t="s">
        <v>1478</v>
      </c>
      <c r="K59" s="52" t="s">
        <v>2069</v>
      </c>
      <c r="L59" s="52" t="s">
        <v>2010</v>
      </c>
      <c r="N59" s="52" t="s">
        <v>2010</v>
      </c>
      <c r="O59" s="69">
        <v>45671.0</v>
      </c>
      <c r="P59" s="52">
        <v>2.0251300003133E13</v>
      </c>
      <c r="Q59" s="52" t="s">
        <v>2069</v>
      </c>
      <c r="R59" s="69">
        <v>45671.0</v>
      </c>
      <c r="S59" s="52" t="s">
        <v>2394</v>
      </c>
      <c r="T59" s="52" t="s">
        <v>2013</v>
      </c>
      <c r="U59" s="52" t="s">
        <v>2395</v>
      </c>
      <c r="V59" s="52" t="s">
        <v>581</v>
      </c>
      <c r="W59" s="52" t="s">
        <v>1471</v>
      </c>
      <c r="X59" s="52" t="s">
        <v>781</v>
      </c>
      <c r="Y59" s="52" t="s">
        <v>1582</v>
      </c>
      <c r="Z59" s="52" t="s">
        <v>2015</v>
      </c>
      <c r="AA59" s="52" t="s">
        <v>2054</v>
      </c>
      <c r="AB59" s="52" t="s">
        <v>2017</v>
      </c>
      <c r="AC59" s="52" t="s">
        <v>2114</v>
      </c>
      <c r="AD59" s="52" t="s">
        <v>587</v>
      </c>
      <c r="AE59" s="52" t="s">
        <v>2396</v>
      </c>
      <c r="AF59" s="69">
        <v>36908.0</v>
      </c>
      <c r="AG59" s="52">
        <v>24.0</v>
      </c>
      <c r="AH59" s="52" t="s">
        <v>1581</v>
      </c>
      <c r="AI59" s="52" t="s">
        <v>2397</v>
      </c>
      <c r="AJ59" s="52" t="s">
        <v>2398</v>
      </c>
      <c r="AK59" s="52" t="s">
        <v>2022</v>
      </c>
      <c r="AL59" s="52" t="s">
        <v>1583</v>
      </c>
      <c r="AM59" s="52" t="s">
        <v>587</v>
      </c>
      <c r="AN59" s="52" t="s">
        <v>1583</v>
      </c>
      <c r="AO59" s="52" t="s">
        <v>1483</v>
      </c>
      <c r="AP59" s="52">
        <v>5525.0</v>
      </c>
      <c r="AQ59" s="52">
        <v>7725.0</v>
      </c>
      <c r="AR59" s="52" t="s">
        <v>62</v>
      </c>
      <c r="AS59" s="69">
        <v>45675.0</v>
      </c>
      <c r="AT59" s="70">
        <v>46009.0</v>
      </c>
      <c r="AU59" s="69">
        <v>45677.0</v>
      </c>
      <c r="AV59" s="70">
        <v>46010.0</v>
      </c>
      <c r="AW59" s="52" t="s">
        <v>1483</v>
      </c>
      <c r="AX59" s="52" t="s">
        <v>587</v>
      </c>
      <c r="AY59" s="52">
        <v>333.0</v>
      </c>
      <c r="AZ59" s="52" t="s">
        <v>2378</v>
      </c>
      <c r="BA59" s="73" t="s">
        <v>2399</v>
      </c>
      <c r="BB59" s="69">
        <v>45677.0</v>
      </c>
      <c r="BC59" s="52" t="s">
        <v>192</v>
      </c>
      <c r="BD59" s="52">
        <v>7.9522477E7</v>
      </c>
      <c r="BE59" s="52" t="s">
        <v>2306</v>
      </c>
      <c r="BF59" s="52" t="s">
        <v>193</v>
      </c>
      <c r="BG59" s="52" t="s">
        <v>2041</v>
      </c>
      <c r="BH59" s="52" t="s">
        <v>329</v>
      </c>
      <c r="BI59" s="52" t="s">
        <v>2027</v>
      </c>
      <c r="BK59" s="52" t="s">
        <v>2010</v>
      </c>
    </row>
    <row r="60">
      <c r="A60" s="52">
        <v>51.0</v>
      </c>
      <c r="B60" s="52" t="s">
        <v>334</v>
      </c>
      <c r="C60" s="52" t="s">
        <v>2005</v>
      </c>
      <c r="D60" s="52">
        <v>8.0027001E7</v>
      </c>
      <c r="E60" s="52" t="s">
        <v>1908</v>
      </c>
      <c r="F60" s="69">
        <v>45673.0</v>
      </c>
      <c r="G60" s="52" t="s">
        <v>336</v>
      </c>
      <c r="H60" s="52" t="s">
        <v>2299</v>
      </c>
      <c r="I60" s="52" t="s">
        <v>2299</v>
      </c>
      <c r="J60" s="52" t="s">
        <v>1478</v>
      </c>
      <c r="K60" s="52" t="s">
        <v>2069</v>
      </c>
      <c r="L60" s="52" t="s">
        <v>2010</v>
      </c>
      <c r="N60" s="52" t="s">
        <v>2010</v>
      </c>
      <c r="O60" s="69">
        <v>45671.0</v>
      </c>
      <c r="P60" s="52">
        <v>2.0251300003153E13</v>
      </c>
      <c r="Q60" s="52" t="s">
        <v>2069</v>
      </c>
      <c r="R60" s="69">
        <v>45671.0</v>
      </c>
      <c r="S60" s="52" t="s">
        <v>2400</v>
      </c>
      <c r="T60" s="52" t="s">
        <v>2013</v>
      </c>
      <c r="U60" s="52" t="s">
        <v>2401</v>
      </c>
      <c r="V60" s="52" t="s">
        <v>581</v>
      </c>
      <c r="W60" s="52" t="s">
        <v>1471</v>
      </c>
      <c r="X60" s="52" t="s">
        <v>583</v>
      </c>
      <c r="Y60" s="52" t="s">
        <v>335</v>
      </c>
      <c r="Z60" s="52" t="s">
        <v>2081</v>
      </c>
      <c r="AA60" s="52" t="s">
        <v>2016</v>
      </c>
      <c r="AB60" s="52" t="s">
        <v>2032</v>
      </c>
      <c r="AC60" s="52" t="s">
        <v>2033</v>
      </c>
      <c r="AD60" s="52" t="s">
        <v>587</v>
      </c>
      <c r="AE60" s="52" t="s">
        <v>2402</v>
      </c>
      <c r="AF60" s="69">
        <v>29400.0</v>
      </c>
      <c r="AG60" s="52">
        <v>45.0</v>
      </c>
      <c r="AH60" s="52" t="s">
        <v>1584</v>
      </c>
      <c r="AI60" s="52" t="s">
        <v>2403</v>
      </c>
      <c r="AJ60" s="52" t="s">
        <v>2404</v>
      </c>
      <c r="AK60" s="52" t="s">
        <v>2022</v>
      </c>
      <c r="AL60" s="52" t="s">
        <v>1585</v>
      </c>
      <c r="AM60" s="52" t="s">
        <v>587</v>
      </c>
      <c r="AN60" s="52" t="s">
        <v>1585</v>
      </c>
      <c r="AO60" s="52" t="s">
        <v>1483</v>
      </c>
      <c r="AP60" s="52">
        <v>5825.0</v>
      </c>
      <c r="AQ60" s="52">
        <v>8125.0</v>
      </c>
      <c r="AR60" s="52" t="s">
        <v>62</v>
      </c>
      <c r="AS60" s="69">
        <v>45675.0</v>
      </c>
      <c r="AT60" s="70">
        <v>45949.0</v>
      </c>
      <c r="AU60" s="69">
        <v>45677.0</v>
      </c>
      <c r="AV60" s="70">
        <v>45949.0</v>
      </c>
      <c r="AW60" s="52" t="s">
        <v>1483</v>
      </c>
      <c r="AX60" s="52" t="s">
        <v>587</v>
      </c>
      <c r="AY60" s="52">
        <v>272.0</v>
      </c>
      <c r="AZ60" s="52" t="s">
        <v>2246</v>
      </c>
      <c r="BA60" s="73" t="s">
        <v>2405</v>
      </c>
      <c r="BB60" s="69">
        <v>45677.0</v>
      </c>
      <c r="BC60" s="52" t="s">
        <v>337</v>
      </c>
      <c r="BD60" s="52">
        <v>7.9790236E7</v>
      </c>
      <c r="BE60" s="52" t="s">
        <v>2406</v>
      </c>
      <c r="BF60" s="52" t="s">
        <v>134</v>
      </c>
      <c r="BG60" s="52" t="s">
        <v>2041</v>
      </c>
      <c r="BH60" s="52" t="s">
        <v>333</v>
      </c>
      <c r="BI60" s="52" t="s">
        <v>2027</v>
      </c>
      <c r="BK60" s="52" t="s">
        <v>2010</v>
      </c>
    </row>
    <row r="61">
      <c r="A61" s="52">
        <v>52.0</v>
      </c>
      <c r="B61" s="52" t="s">
        <v>339</v>
      </c>
      <c r="C61" s="52" t="s">
        <v>2005</v>
      </c>
      <c r="D61" s="52">
        <v>1.136879313E9</v>
      </c>
      <c r="E61" s="52" t="s">
        <v>1908</v>
      </c>
      <c r="F61" s="69">
        <v>45672.0</v>
      </c>
      <c r="G61" s="52" t="s">
        <v>341</v>
      </c>
      <c r="H61" s="52" t="s">
        <v>2088</v>
      </c>
      <c r="I61" s="52" t="s">
        <v>2088</v>
      </c>
      <c r="J61" s="52" t="s">
        <v>1478</v>
      </c>
      <c r="K61" s="52" t="s">
        <v>2059</v>
      </c>
      <c r="L61" s="52" t="s">
        <v>2010</v>
      </c>
      <c r="N61" s="52" t="s">
        <v>2010</v>
      </c>
      <c r="O61" s="69">
        <v>45671.0</v>
      </c>
      <c r="P61" s="52">
        <v>2.0251000003163E13</v>
      </c>
      <c r="Q61" s="52" t="s">
        <v>2059</v>
      </c>
      <c r="R61" s="69">
        <v>45671.0</v>
      </c>
      <c r="S61" s="52" t="s">
        <v>2407</v>
      </c>
      <c r="T61" s="52" t="s">
        <v>2013</v>
      </c>
      <c r="U61" s="52" t="s">
        <v>2408</v>
      </c>
      <c r="V61" s="52" t="s">
        <v>581</v>
      </c>
      <c r="W61" s="52" t="s">
        <v>1471</v>
      </c>
      <c r="X61" s="52" t="s">
        <v>583</v>
      </c>
      <c r="Y61" s="52" t="s">
        <v>340</v>
      </c>
      <c r="Z61" s="52" t="s">
        <v>2081</v>
      </c>
      <c r="AA61" s="52" t="s">
        <v>2016</v>
      </c>
      <c r="AB61" s="52" t="s">
        <v>2017</v>
      </c>
      <c r="AC61" s="52" t="s">
        <v>2033</v>
      </c>
      <c r="AD61" s="52" t="s">
        <v>587</v>
      </c>
      <c r="AE61" s="52" t="s">
        <v>2093</v>
      </c>
      <c r="AF61" s="70">
        <v>31758.0</v>
      </c>
      <c r="AG61" s="52">
        <v>39.0</v>
      </c>
      <c r="AH61" s="52" t="s">
        <v>1526</v>
      </c>
      <c r="AI61" s="52" t="s">
        <v>2409</v>
      </c>
      <c r="AJ61" s="52" t="s">
        <v>2410</v>
      </c>
      <c r="AK61" s="52" t="s">
        <v>2022</v>
      </c>
      <c r="AL61" s="52" t="s">
        <v>1586</v>
      </c>
      <c r="AM61" s="52" t="s">
        <v>587</v>
      </c>
      <c r="AN61" s="52" t="s">
        <v>1586</v>
      </c>
      <c r="AO61" s="52" t="s">
        <v>1483</v>
      </c>
      <c r="AP61" s="52">
        <v>4325.0</v>
      </c>
      <c r="AQ61" s="52">
        <v>6125.0</v>
      </c>
      <c r="AR61" s="52" t="s">
        <v>77</v>
      </c>
      <c r="AS61" s="69">
        <v>45673.0</v>
      </c>
      <c r="AT61" s="70">
        <v>46021.0</v>
      </c>
      <c r="AU61" s="69">
        <v>45673.0</v>
      </c>
      <c r="AV61" s="70">
        <v>46021.0</v>
      </c>
      <c r="AW61" s="52" t="s">
        <v>1483</v>
      </c>
      <c r="AX61" s="52" t="s">
        <v>587</v>
      </c>
      <c r="AY61" s="52">
        <v>348.0</v>
      </c>
      <c r="AZ61" s="52" t="s">
        <v>2411</v>
      </c>
      <c r="BA61" s="73" t="s">
        <v>2412</v>
      </c>
      <c r="BB61" s="69">
        <v>45673.0</v>
      </c>
      <c r="BC61" s="52" t="s">
        <v>2119</v>
      </c>
      <c r="BD61" s="52">
        <v>1.019090785E9</v>
      </c>
      <c r="BE61" s="52" t="s">
        <v>2120</v>
      </c>
      <c r="BF61" s="52" t="s">
        <v>100</v>
      </c>
      <c r="BG61" s="52" t="s">
        <v>2041</v>
      </c>
      <c r="BH61" s="52" t="s">
        <v>338</v>
      </c>
      <c r="BI61" s="52" t="s">
        <v>2027</v>
      </c>
      <c r="BK61" s="52" t="s">
        <v>2010</v>
      </c>
    </row>
    <row r="62">
      <c r="A62" s="52">
        <v>53.0</v>
      </c>
      <c r="B62" s="52" t="s">
        <v>343</v>
      </c>
      <c r="C62" s="52" t="s">
        <v>2005</v>
      </c>
      <c r="D62" s="52">
        <v>1.143855242E9</v>
      </c>
      <c r="E62" s="52" t="s">
        <v>1908</v>
      </c>
      <c r="F62" s="69">
        <v>45672.0</v>
      </c>
      <c r="G62" s="52" t="s">
        <v>345</v>
      </c>
      <c r="H62" s="52" t="s">
        <v>2042</v>
      </c>
      <c r="I62" s="52" t="s">
        <v>2042</v>
      </c>
      <c r="J62" s="52" t="s">
        <v>1478</v>
      </c>
      <c r="K62" s="52" t="s">
        <v>2051</v>
      </c>
      <c r="L62" s="52" t="s">
        <v>2010</v>
      </c>
      <c r="N62" s="52" t="s">
        <v>2010</v>
      </c>
      <c r="O62" s="69">
        <v>45671.0</v>
      </c>
      <c r="P62" s="52">
        <v>2.0251520003213E13</v>
      </c>
      <c r="Q62" s="52" t="s">
        <v>2213</v>
      </c>
      <c r="R62" s="69">
        <v>45671.0</v>
      </c>
      <c r="S62" s="52" t="s">
        <v>2413</v>
      </c>
      <c r="T62" s="52" t="s">
        <v>2013</v>
      </c>
      <c r="U62" s="52" t="s">
        <v>2414</v>
      </c>
      <c r="V62" s="52" t="s">
        <v>581</v>
      </c>
      <c r="W62" s="52" t="s">
        <v>1471</v>
      </c>
      <c r="X62" s="52" t="s">
        <v>583</v>
      </c>
      <c r="Y62" s="52" t="s">
        <v>1587</v>
      </c>
      <c r="Z62" s="52" t="s">
        <v>2081</v>
      </c>
      <c r="AA62" s="52" t="s">
        <v>2016</v>
      </c>
      <c r="AB62" s="52" t="s">
        <v>2032</v>
      </c>
      <c r="AC62" s="52" t="s">
        <v>2054</v>
      </c>
      <c r="AD62" s="52" t="s">
        <v>587</v>
      </c>
      <c r="AE62" s="52" t="s">
        <v>2252</v>
      </c>
      <c r="AF62" s="69">
        <v>34511.0</v>
      </c>
      <c r="AG62" s="52">
        <v>31.0</v>
      </c>
      <c r="AH62" s="52" t="s">
        <v>1526</v>
      </c>
      <c r="AI62" s="52" t="s">
        <v>2415</v>
      </c>
      <c r="AJ62" s="52" t="s">
        <v>2416</v>
      </c>
      <c r="AK62" s="52" t="s">
        <v>2022</v>
      </c>
      <c r="AL62" s="52" t="s">
        <v>1588</v>
      </c>
      <c r="AM62" s="52" t="s">
        <v>587</v>
      </c>
      <c r="AN62" s="52" t="s">
        <v>1588</v>
      </c>
      <c r="AO62" s="52" t="s">
        <v>1483</v>
      </c>
      <c r="AP62" s="52">
        <v>6825.0</v>
      </c>
      <c r="AQ62" s="52">
        <v>6825.0</v>
      </c>
      <c r="AR62" s="52" t="s">
        <v>53</v>
      </c>
      <c r="AS62" s="69">
        <v>45686.0</v>
      </c>
      <c r="AT62" s="69">
        <v>45874.0</v>
      </c>
      <c r="AU62" s="69">
        <v>45686.0</v>
      </c>
      <c r="AV62" s="69">
        <v>45874.0</v>
      </c>
      <c r="AW62" s="52" t="s">
        <v>1483</v>
      </c>
      <c r="AX62" s="52" t="s">
        <v>587</v>
      </c>
      <c r="AY62" s="52">
        <v>188.0</v>
      </c>
      <c r="AZ62" s="52" t="s">
        <v>2246</v>
      </c>
      <c r="BA62" s="73" t="s">
        <v>2417</v>
      </c>
      <c r="BB62" s="69">
        <v>45686.0</v>
      </c>
      <c r="BC62" s="52" t="s">
        <v>2418</v>
      </c>
      <c r="BD62" s="52">
        <v>1.032483912E9</v>
      </c>
      <c r="BE62" s="52" t="s">
        <v>2419</v>
      </c>
      <c r="BF62" s="52" t="s">
        <v>182</v>
      </c>
      <c r="BG62" s="52" t="s">
        <v>2041</v>
      </c>
      <c r="BH62" s="52" t="s">
        <v>342</v>
      </c>
      <c r="BI62" s="52" t="s">
        <v>2027</v>
      </c>
      <c r="BK62" s="52" t="s">
        <v>2010</v>
      </c>
    </row>
    <row r="63">
      <c r="A63" s="52">
        <v>54.0</v>
      </c>
      <c r="B63" s="52" t="s">
        <v>348</v>
      </c>
      <c r="C63" s="52" t="s">
        <v>2005</v>
      </c>
      <c r="D63" s="52">
        <v>1.09872233E9</v>
      </c>
      <c r="E63" s="52" t="s">
        <v>1908</v>
      </c>
      <c r="F63" s="69">
        <v>45671.0</v>
      </c>
      <c r="G63" s="52" t="s">
        <v>1589</v>
      </c>
      <c r="H63" s="52" t="s">
        <v>2042</v>
      </c>
      <c r="I63" s="52" t="s">
        <v>2042</v>
      </c>
      <c r="J63" s="52" t="s">
        <v>1478</v>
      </c>
      <c r="K63" s="52" t="s">
        <v>2051</v>
      </c>
      <c r="L63" s="52" t="s">
        <v>2010</v>
      </c>
      <c r="N63" s="52" t="s">
        <v>2010</v>
      </c>
      <c r="O63" s="69">
        <v>45671.0</v>
      </c>
      <c r="P63" s="52">
        <v>2.0251520003203E13</v>
      </c>
      <c r="Q63" s="52" t="s">
        <v>2213</v>
      </c>
      <c r="R63" s="69">
        <v>45671.0</v>
      </c>
      <c r="S63" s="52" t="s">
        <v>2420</v>
      </c>
      <c r="T63" s="52" t="s">
        <v>2013</v>
      </c>
      <c r="U63" s="52" t="s">
        <v>2421</v>
      </c>
      <c r="V63" s="52" t="s">
        <v>581</v>
      </c>
      <c r="W63" s="52" t="s">
        <v>1471</v>
      </c>
      <c r="X63" s="52" t="s">
        <v>583</v>
      </c>
      <c r="Y63" s="52" t="s">
        <v>349</v>
      </c>
      <c r="Z63" s="52" t="s">
        <v>2015</v>
      </c>
      <c r="AA63" s="52" t="s">
        <v>2016</v>
      </c>
      <c r="AB63" s="52" t="s">
        <v>2032</v>
      </c>
      <c r="AC63" s="52" t="s">
        <v>2082</v>
      </c>
      <c r="AD63" s="52" t="s">
        <v>587</v>
      </c>
      <c r="AE63" s="52" t="s">
        <v>2422</v>
      </c>
      <c r="AF63" s="69">
        <v>33754.0</v>
      </c>
      <c r="AG63" s="52">
        <v>33.0</v>
      </c>
      <c r="AH63" s="52" t="s">
        <v>1521</v>
      </c>
      <c r="AI63" s="52" t="s">
        <v>2423</v>
      </c>
      <c r="AJ63" s="52" t="s">
        <v>2424</v>
      </c>
      <c r="AK63" s="52" t="s">
        <v>2022</v>
      </c>
      <c r="AL63" s="52" t="s">
        <v>1590</v>
      </c>
      <c r="AM63" s="52" t="s">
        <v>587</v>
      </c>
      <c r="AN63" s="52" t="s">
        <v>1590</v>
      </c>
      <c r="AO63" s="52" t="s">
        <v>1483</v>
      </c>
      <c r="AP63" s="52">
        <v>6525.0</v>
      </c>
      <c r="AQ63" s="52">
        <v>7225.0</v>
      </c>
      <c r="AR63" s="52" t="s">
        <v>351</v>
      </c>
      <c r="AS63" s="69">
        <v>45674.0</v>
      </c>
      <c r="AT63" s="70">
        <v>46014.0</v>
      </c>
      <c r="AU63" s="69">
        <v>45674.0</v>
      </c>
      <c r="AV63" s="70">
        <v>46014.0</v>
      </c>
      <c r="AW63" s="52" t="s">
        <v>1483</v>
      </c>
      <c r="AX63" s="52" t="s">
        <v>587</v>
      </c>
      <c r="AY63" s="52">
        <v>340.0</v>
      </c>
      <c r="AZ63" s="52" t="s">
        <v>2010</v>
      </c>
      <c r="BA63" s="73" t="s">
        <v>2425</v>
      </c>
      <c r="BB63" s="69">
        <v>45674.0</v>
      </c>
      <c r="BC63" s="52" t="s">
        <v>352</v>
      </c>
      <c r="BE63" s="52" t="s">
        <v>2426</v>
      </c>
      <c r="BF63" s="52" t="s">
        <v>182</v>
      </c>
      <c r="BG63" s="52" t="s">
        <v>2041</v>
      </c>
      <c r="BH63" s="52" t="s">
        <v>347</v>
      </c>
      <c r="BI63" s="52" t="s">
        <v>2027</v>
      </c>
      <c r="BK63" s="52" t="s">
        <v>2010</v>
      </c>
    </row>
    <row r="64">
      <c r="A64" s="52">
        <v>55.0</v>
      </c>
      <c r="B64" s="52" t="s">
        <v>354</v>
      </c>
      <c r="C64" s="52" t="s">
        <v>2005</v>
      </c>
      <c r="D64" s="52">
        <v>1.018453844E9</v>
      </c>
      <c r="E64" s="52" t="s">
        <v>1908</v>
      </c>
      <c r="F64" s="69">
        <v>45671.0</v>
      </c>
      <c r="G64" s="52" t="s">
        <v>356</v>
      </c>
      <c r="H64" s="52" t="s">
        <v>2008</v>
      </c>
      <c r="I64" s="52" t="s">
        <v>2008</v>
      </c>
      <c r="J64" s="52" t="s">
        <v>1478</v>
      </c>
      <c r="K64" s="52" t="s">
        <v>2098</v>
      </c>
      <c r="L64" s="52" t="s">
        <v>2010</v>
      </c>
      <c r="N64" s="52" t="s">
        <v>2010</v>
      </c>
      <c r="O64" s="69">
        <v>45671.0</v>
      </c>
      <c r="P64" s="52">
        <v>2.0251610003243E13</v>
      </c>
      <c r="Q64" s="52" t="s">
        <v>2098</v>
      </c>
      <c r="R64" s="69">
        <v>45671.0</v>
      </c>
      <c r="S64" s="52" t="s">
        <v>2427</v>
      </c>
      <c r="T64" s="52" t="s">
        <v>2013</v>
      </c>
      <c r="U64" s="52" t="s">
        <v>2428</v>
      </c>
      <c r="V64" s="52" t="s">
        <v>581</v>
      </c>
      <c r="W64" s="52" t="s">
        <v>1471</v>
      </c>
      <c r="X64" s="52" t="s">
        <v>583</v>
      </c>
      <c r="Y64" s="52" t="s">
        <v>355</v>
      </c>
      <c r="Z64" s="52" t="s">
        <v>2081</v>
      </c>
      <c r="AA64" s="52" t="s">
        <v>2016</v>
      </c>
      <c r="AB64" s="52" t="s">
        <v>2017</v>
      </c>
      <c r="AC64" s="52" t="s">
        <v>2033</v>
      </c>
      <c r="AD64" s="52" t="s">
        <v>587</v>
      </c>
      <c r="AE64" s="52" t="s">
        <v>2429</v>
      </c>
      <c r="AF64" s="69">
        <v>33828.0</v>
      </c>
      <c r="AG64" s="52">
        <v>33.0</v>
      </c>
      <c r="AH64" s="52" t="s">
        <v>1570</v>
      </c>
      <c r="AI64" s="52" t="s">
        <v>2430</v>
      </c>
      <c r="AJ64" s="52" t="s">
        <v>2431</v>
      </c>
      <c r="AK64" s="52" t="s">
        <v>2022</v>
      </c>
      <c r="AL64" s="52" t="s">
        <v>1578</v>
      </c>
      <c r="AM64" s="52" t="s">
        <v>587</v>
      </c>
      <c r="AN64" s="52" t="s">
        <v>1578</v>
      </c>
      <c r="AO64" s="52" t="s">
        <v>1483</v>
      </c>
      <c r="AP64" s="52">
        <v>8625.0</v>
      </c>
      <c r="AQ64" s="52">
        <v>5725.0</v>
      </c>
      <c r="AR64" s="52" t="s">
        <v>313</v>
      </c>
      <c r="AS64" s="69">
        <v>45672.0</v>
      </c>
      <c r="AT64" s="70">
        <v>46020.0</v>
      </c>
      <c r="AU64" s="69">
        <v>45672.0</v>
      </c>
      <c r="AV64" s="70">
        <v>46020.0</v>
      </c>
      <c r="AW64" s="52" t="s">
        <v>1483</v>
      </c>
      <c r="AX64" s="52" t="s">
        <v>587</v>
      </c>
      <c r="AY64" s="52">
        <v>348.0</v>
      </c>
      <c r="AZ64" s="52" t="s">
        <v>2432</v>
      </c>
      <c r="BA64" s="73" t="s">
        <v>2433</v>
      </c>
      <c r="BB64" s="69">
        <v>45672.0</v>
      </c>
      <c r="BC64" s="52" t="s">
        <v>357</v>
      </c>
      <c r="BD64" s="70">
        <v>2.7805174E7</v>
      </c>
      <c r="BE64" s="52" t="s">
        <v>2380</v>
      </c>
      <c r="BF64" s="52" t="s">
        <v>93</v>
      </c>
      <c r="BG64" s="52" t="s">
        <v>2041</v>
      </c>
      <c r="BH64" s="52" t="s">
        <v>353</v>
      </c>
      <c r="BI64" s="52" t="s">
        <v>2027</v>
      </c>
      <c r="BK64" s="52" t="s">
        <v>2010</v>
      </c>
    </row>
    <row r="65">
      <c r="A65" s="52">
        <v>56.0</v>
      </c>
      <c r="B65" s="52" t="s">
        <v>359</v>
      </c>
      <c r="C65" s="52" t="s">
        <v>2005</v>
      </c>
      <c r="D65" s="52">
        <v>1.098310315E9</v>
      </c>
      <c r="E65" s="52" t="s">
        <v>1908</v>
      </c>
      <c r="F65" s="69">
        <v>45671.0</v>
      </c>
      <c r="G65" s="52" t="s">
        <v>361</v>
      </c>
      <c r="H65" s="52" t="s">
        <v>2042</v>
      </c>
      <c r="I65" s="52" t="s">
        <v>2042</v>
      </c>
      <c r="J65" s="52" t="s">
        <v>1478</v>
      </c>
      <c r="K65" s="52" t="s">
        <v>2051</v>
      </c>
      <c r="L65" s="52" t="s">
        <v>2010</v>
      </c>
      <c r="N65" s="52" t="s">
        <v>2010</v>
      </c>
      <c r="O65" s="69">
        <v>45671.0</v>
      </c>
      <c r="P65" s="52">
        <v>2.0251520003253E13</v>
      </c>
      <c r="Q65" s="52" t="s">
        <v>2213</v>
      </c>
      <c r="R65" s="69">
        <v>45671.0</v>
      </c>
      <c r="S65" s="52" t="s">
        <v>2434</v>
      </c>
      <c r="T65" s="52" t="s">
        <v>2013</v>
      </c>
      <c r="U65" s="52" t="s">
        <v>2435</v>
      </c>
      <c r="V65" s="52" t="s">
        <v>581</v>
      </c>
      <c r="W65" s="52" t="s">
        <v>1471</v>
      </c>
      <c r="X65" s="52" t="s">
        <v>583</v>
      </c>
      <c r="Y65" s="52" t="s">
        <v>1592</v>
      </c>
      <c r="Z65" s="52" t="s">
        <v>2081</v>
      </c>
      <c r="AA65" s="52" t="s">
        <v>2016</v>
      </c>
      <c r="AB65" s="52" t="s">
        <v>2032</v>
      </c>
      <c r="AC65" s="52" t="s">
        <v>2054</v>
      </c>
      <c r="AD65" s="52" t="s">
        <v>587</v>
      </c>
      <c r="AE65" s="52" t="s">
        <v>2436</v>
      </c>
      <c r="AF65" s="70">
        <v>34323.0</v>
      </c>
      <c r="AG65" s="52">
        <v>32.0</v>
      </c>
      <c r="AH65" s="52" t="s">
        <v>1472</v>
      </c>
      <c r="AI65" s="52" t="s">
        <v>2437</v>
      </c>
      <c r="AJ65" s="52" t="s">
        <v>2438</v>
      </c>
      <c r="AK65" s="52" t="s">
        <v>2022</v>
      </c>
      <c r="AL65" s="52" t="s">
        <v>1593</v>
      </c>
      <c r="AM65" s="52" t="s">
        <v>587</v>
      </c>
      <c r="AN65" s="52" t="s">
        <v>1593</v>
      </c>
      <c r="AO65" s="52" t="s">
        <v>1483</v>
      </c>
      <c r="AP65" s="52">
        <v>6925.0</v>
      </c>
      <c r="AQ65" s="52">
        <v>6625.0</v>
      </c>
      <c r="AR65" s="52" t="s">
        <v>53</v>
      </c>
      <c r="AS65" s="69">
        <v>45673.0</v>
      </c>
      <c r="AT65" s="70">
        <v>46013.0</v>
      </c>
      <c r="AU65" s="69">
        <v>45673.0</v>
      </c>
      <c r="AV65" s="70">
        <v>46020.0</v>
      </c>
      <c r="AW65" s="52" t="s">
        <v>1483</v>
      </c>
      <c r="AX65" s="52" t="s">
        <v>587</v>
      </c>
      <c r="AY65" s="52">
        <v>347.0</v>
      </c>
      <c r="AZ65" s="52" t="s">
        <v>2246</v>
      </c>
      <c r="BA65" s="73" t="s">
        <v>2439</v>
      </c>
      <c r="BB65" s="69">
        <v>45673.0</v>
      </c>
      <c r="BC65" s="52" t="s">
        <v>362</v>
      </c>
      <c r="BD65" s="52">
        <v>5.298137E7</v>
      </c>
      <c r="BE65" s="52" t="s">
        <v>2298</v>
      </c>
      <c r="BF65" s="52" t="s">
        <v>176</v>
      </c>
      <c r="BG65" s="52" t="s">
        <v>2041</v>
      </c>
      <c r="BH65" s="52" t="s">
        <v>358</v>
      </c>
      <c r="BI65" s="52" t="s">
        <v>2027</v>
      </c>
      <c r="BK65" s="52" t="s">
        <v>2010</v>
      </c>
    </row>
    <row r="66">
      <c r="A66" s="52">
        <v>57.0</v>
      </c>
      <c r="B66" s="52" t="s">
        <v>364</v>
      </c>
      <c r="C66" s="52" t="s">
        <v>2005</v>
      </c>
      <c r="D66" s="52">
        <v>5.1568567E7</v>
      </c>
      <c r="E66" s="52" t="s">
        <v>1908</v>
      </c>
      <c r="F66" s="69">
        <v>45672.0</v>
      </c>
      <c r="G66" s="52" t="s">
        <v>366</v>
      </c>
      <c r="H66" s="52" t="s">
        <v>2028</v>
      </c>
      <c r="I66" s="52" t="s">
        <v>2068</v>
      </c>
      <c r="J66" s="52" t="s">
        <v>1478</v>
      </c>
      <c r="K66" s="52" t="s">
        <v>2059</v>
      </c>
      <c r="L66" s="52" t="s">
        <v>2010</v>
      </c>
      <c r="N66" s="52" t="s">
        <v>2010</v>
      </c>
      <c r="O66" s="69">
        <v>45671.0</v>
      </c>
      <c r="P66" s="52">
        <v>2.0251900003363E13</v>
      </c>
      <c r="Q66" s="52" t="s">
        <v>2059</v>
      </c>
      <c r="R66" s="69">
        <v>45671.0</v>
      </c>
      <c r="S66" s="52" t="s">
        <v>2440</v>
      </c>
      <c r="T66" s="52" t="s">
        <v>2013</v>
      </c>
      <c r="U66" s="52" t="s">
        <v>2441</v>
      </c>
      <c r="V66" s="52" t="s">
        <v>581</v>
      </c>
      <c r="W66" s="52" t="s">
        <v>1471</v>
      </c>
      <c r="X66" s="52" t="s">
        <v>583</v>
      </c>
      <c r="Y66" s="52" t="s">
        <v>1596</v>
      </c>
      <c r="Z66" s="52" t="s">
        <v>2015</v>
      </c>
      <c r="AA66" s="52" t="s">
        <v>2016</v>
      </c>
      <c r="AB66" s="52" t="s">
        <v>2062</v>
      </c>
      <c r="AC66" s="52" t="s">
        <v>2033</v>
      </c>
      <c r="AD66" s="52" t="s">
        <v>587</v>
      </c>
      <c r="AE66" s="52" t="s">
        <v>2093</v>
      </c>
      <c r="AF66" s="70">
        <v>22216.0</v>
      </c>
      <c r="AG66" s="52">
        <v>65.0</v>
      </c>
      <c r="AH66" s="52" t="s">
        <v>1595</v>
      </c>
      <c r="AI66" s="52" t="s">
        <v>2442</v>
      </c>
      <c r="AJ66" s="52" t="s">
        <v>2443</v>
      </c>
      <c r="AK66" s="52" t="s">
        <v>2022</v>
      </c>
      <c r="AL66" s="52" t="s">
        <v>1597</v>
      </c>
      <c r="AM66" s="52" t="s">
        <v>587</v>
      </c>
      <c r="AN66" s="52" t="s">
        <v>1597</v>
      </c>
      <c r="AO66" s="52" t="s">
        <v>1483</v>
      </c>
      <c r="AP66" s="52">
        <v>7225.0</v>
      </c>
      <c r="AQ66" s="52">
        <v>5925.0</v>
      </c>
      <c r="AR66" s="52" t="s">
        <v>367</v>
      </c>
      <c r="AS66" s="69">
        <v>45673.0</v>
      </c>
      <c r="AT66" s="70">
        <v>46021.0</v>
      </c>
      <c r="AU66" s="69">
        <v>45673.0</v>
      </c>
      <c r="AV66" s="70">
        <v>46021.0</v>
      </c>
      <c r="AW66" s="52" t="s">
        <v>1483</v>
      </c>
      <c r="AX66" s="52" t="s">
        <v>587</v>
      </c>
      <c r="AY66" s="52">
        <v>348.0</v>
      </c>
      <c r="AZ66" s="52" t="s">
        <v>2010</v>
      </c>
      <c r="BA66" s="73" t="s">
        <v>2444</v>
      </c>
      <c r="BB66" s="69">
        <v>45673.0</v>
      </c>
      <c r="BC66" s="52" t="s">
        <v>368</v>
      </c>
      <c r="BD66" s="52">
        <v>1.014193819E9</v>
      </c>
      <c r="BE66" s="52" t="s">
        <v>2445</v>
      </c>
      <c r="BF66" s="52" t="s">
        <v>369</v>
      </c>
      <c r="BG66" s="52" t="s">
        <v>2041</v>
      </c>
      <c r="BH66" s="52" t="s">
        <v>363</v>
      </c>
      <c r="BI66" s="52" t="s">
        <v>2027</v>
      </c>
      <c r="BK66" s="52" t="s">
        <v>2010</v>
      </c>
    </row>
    <row r="67">
      <c r="A67" s="52">
        <v>58.0</v>
      </c>
      <c r="B67" s="52" t="s">
        <v>371</v>
      </c>
      <c r="C67" s="52" t="s">
        <v>2005</v>
      </c>
      <c r="D67" s="52">
        <v>1.020752782E9</v>
      </c>
      <c r="E67" s="52" t="s">
        <v>1908</v>
      </c>
      <c r="F67" s="69">
        <v>45671.0</v>
      </c>
      <c r="G67" s="52" t="s">
        <v>373</v>
      </c>
      <c r="H67" s="52" t="s">
        <v>2446</v>
      </c>
      <c r="I67" s="52" t="s">
        <v>2068</v>
      </c>
      <c r="J67" s="52" t="s">
        <v>1478</v>
      </c>
      <c r="K67" s="52" t="s">
        <v>2059</v>
      </c>
      <c r="L67" s="52" t="s">
        <v>2010</v>
      </c>
      <c r="N67" s="52" t="s">
        <v>2010</v>
      </c>
      <c r="O67" s="69">
        <v>45671.0</v>
      </c>
      <c r="P67" s="52">
        <v>2.0251900003373E13</v>
      </c>
      <c r="Q67" s="52" t="s">
        <v>2059</v>
      </c>
      <c r="R67" s="69">
        <v>45671.0</v>
      </c>
      <c r="S67" s="52" t="s">
        <v>2447</v>
      </c>
      <c r="T67" s="52" t="s">
        <v>2013</v>
      </c>
      <c r="U67" s="52" t="s">
        <v>2448</v>
      </c>
      <c r="V67" s="52" t="s">
        <v>581</v>
      </c>
      <c r="W67" s="52" t="s">
        <v>1471</v>
      </c>
      <c r="X67" s="52" t="s">
        <v>583</v>
      </c>
      <c r="Y67" s="52" t="s">
        <v>2449</v>
      </c>
      <c r="Z67" s="52" t="s">
        <v>2081</v>
      </c>
      <c r="AA67" s="52" t="s">
        <v>2016</v>
      </c>
      <c r="AB67" s="52" t="s">
        <v>2062</v>
      </c>
      <c r="AC67" s="52" t="s">
        <v>2033</v>
      </c>
      <c r="AD67" s="52" t="s">
        <v>587</v>
      </c>
      <c r="AE67" s="52" t="s">
        <v>2093</v>
      </c>
      <c r="AF67" s="69">
        <v>33027.0</v>
      </c>
      <c r="AG67" s="52">
        <v>35.0</v>
      </c>
      <c r="AH67" s="52" t="s">
        <v>1538</v>
      </c>
      <c r="AI67" s="52" t="s">
        <v>2450</v>
      </c>
      <c r="AJ67" s="52" t="s">
        <v>2451</v>
      </c>
      <c r="AK67" s="52" t="s">
        <v>2022</v>
      </c>
      <c r="AL67" s="52" t="s">
        <v>1599</v>
      </c>
      <c r="AM67" s="52" t="s">
        <v>587</v>
      </c>
      <c r="AN67" s="52" t="s">
        <v>1599</v>
      </c>
      <c r="AO67" s="52" t="s">
        <v>1483</v>
      </c>
      <c r="AP67" s="52">
        <v>7125.0</v>
      </c>
      <c r="AQ67" s="52">
        <v>6225.0</v>
      </c>
      <c r="AR67" s="52" t="s">
        <v>374</v>
      </c>
      <c r="AS67" s="69">
        <v>45673.0</v>
      </c>
      <c r="AT67" s="70">
        <v>46021.0</v>
      </c>
      <c r="AU67" s="69">
        <v>45673.0</v>
      </c>
      <c r="AV67" s="70">
        <v>46021.0</v>
      </c>
      <c r="AW67" s="52" t="s">
        <v>1483</v>
      </c>
      <c r="AX67" s="52" t="s">
        <v>587</v>
      </c>
      <c r="AY67" s="52">
        <v>348.0</v>
      </c>
      <c r="AZ67" s="52" t="s">
        <v>2246</v>
      </c>
      <c r="BA67" s="73" t="s">
        <v>2452</v>
      </c>
      <c r="BB67" s="69">
        <v>45673.0</v>
      </c>
      <c r="BC67" s="52" t="s">
        <v>375</v>
      </c>
      <c r="BD67" s="52">
        <v>1.01842287E9</v>
      </c>
      <c r="BE67" s="52" t="s">
        <v>2453</v>
      </c>
      <c r="BF67" s="52" t="s">
        <v>193</v>
      </c>
      <c r="BG67" s="52" t="s">
        <v>2041</v>
      </c>
      <c r="BH67" s="52" t="s">
        <v>370</v>
      </c>
      <c r="BI67" s="52" t="s">
        <v>2027</v>
      </c>
      <c r="BK67" s="52" t="s">
        <v>2010</v>
      </c>
    </row>
    <row r="68">
      <c r="A68" s="52">
        <v>59.0</v>
      </c>
      <c r="B68" s="52" t="s">
        <v>377</v>
      </c>
      <c r="C68" s="52" t="s">
        <v>2005</v>
      </c>
      <c r="D68" s="52">
        <v>1.075222248E9</v>
      </c>
      <c r="E68" s="52" t="s">
        <v>1908</v>
      </c>
      <c r="F68" s="69">
        <v>45671.0</v>
      </c>
      <c r="G68" s="52" t="s">
        <v>379</v>
      </c>
      <c r="H68" s="52" t="s">
        <v>2008</v>
      </c>
      <c r="I68" s="52" t="s">
        <v>2008</v>
      </c>
      <c r="J68" s="52" t="s">
        <v>1470</v>
      </c>
      <c r="K68" s="52" t="s">
        <v>2098</v>
      </c>
      <c r="L68" s="52" t="s">
        <v>2010</v>
      </c>
      <c r="N68" s="52" t="s">
        <v>2010</v>
      </c>
      <c r="O68" s="69">
        <v>45671.0</v>
      </c>
      <c r="P68" s="52">
        <v>2.0251610003383E13</v>
      </c>
      <c r="Q68" s="52" t="s">
        <v>2098</v>
      </c>
      <c r="R68" s="69">
        <v>45671.0</v>
      </c>
      <c r="S68" s="52" t="s">
        <v>2454</v>
      </c>
      <c r="T68" s="52" t="s">
        <v>2013</v>
      </c>
      <c r="U68" s="52" t="s">
        <v>2455</v>
      </c>
      <c r="V68" s="52" t="s">
        <v>581</v>
      </c>
      <c r="W68" s="52" t="s">
        <v>1471</v>
      </c>
      <c r="X68" s="52" t="s">
        <v>583</v>
      </c>
      <c r="Y68" s="52" t="s">
        <v>756</v>
      </c>
      <c r="Z68" s="52" t="s">
        <v>2081</v>
      </c>
      <c r="AA68" s="52" t="s">
        <v>2016</v>
      </c>
      <c r="AB68" s="52" t="s">
        <v>2017</v>
      </c>
      <c r="AC68" s="52" t="s">
        <v>2033</v>
      </c>
      <c r="AD68" s="52" t="s">
        <v>587</v>
      </c>
      <c r="AE68" s="52" t="s">
        <v>2456</v>
      </c>
      <c r="AF68" s="69">
        <v>31959.0</v>
      </c>
      <c r="AG68" s="52">
        <v>38.0</v>
      </c>
      <c r="AH68" s="52" t="s">
        <v>1600</v>
      </c>
      <c r="AI68" s="52" t="s">
        <v>2457</v>
      </c>
      <c r="AJ68" s="52" t="s">
        <v>2458</v>
      </c>
      <c r="AK68" s="52" t="s">
        <v>2022</v>
      </c>
      <c r="AL68" s="52" t="s">
        <v>1523</v>
      </c>
      <c r="AM68" s="52" t="s">
        <v>1524</v>
      </c>
      <c r="AN68" s="52" t="s">
        <v>1525</v>
      </c>
      <c r="AO68" s="52" t="s">
        <v>1483</v>
      </c>
      <c r="AP68" s="52">
        <v>9625.0</v>
      </c>
      <c r="AQ68" s="52">
        <v>5825.0</v>
      </c>
      <c r="AR68" s="52" t="s">
        <v>91</v>
      </c>
      <c r="AS68" s="69">
        <v>45673.0</v>
      </c>
      <c r="AT68" s="70">
        <v>46006.0</v>
      </c>
      <c r="AU68" s="69">
        <v>45673.0</v>
      </c>
      <c r="AV68" s="70">
        <v>46006.0</v>
      </c>
      <c r="AW68" s="52" t="s">
        <v>1483</v>
      </c>
      <c r="AX68" s="52" t="s">
        <v>587</v>
      </c>
      <c r="AY68" s="52">
        <v>333.0</v>
      </c>
      <c r="AZ68" s="52" t="s">
        <v>2246</v>
      </c>
      <c r="BA68" s="73" t="s">
        <v>2459</v>
      </c>
      <c r="BB68" s="69">
        <v>45671.0</v>
      </c>
      <c r="BC68" s="52" t="s">
        <v>2460</v>
      </c>
      <c r="BD68" s="52">
        <v>1.119667829E9</v>
      </c>
      <c r="BE68" s="52" t="s">
        <v>2199</v>
      </c>
      <c r="BF68" s="52" t="s">
        <v>93</v>
      </c>
      <c r="BG68" s="52" t="s">
        <v>2041</v>
      </c>
      <c r="BH68" s="52" t="s">
        <v>376</v>
      </c>
      <c r="BI68" s="52" t="s">
        <v>2027</v>
      </c>
      <c r="BK68" s="52" t="s">
        <v>2010</v>
      </c>
    </row>
    <row r="69">
      <c r="A69" s="52">
        <v>60.0</v>
      </c>
      <c r="B69" s="52" t="s">
        <v>381</v>
      </c>
      <c r="C69" s="52" t="s">
        <v>2005</v>
      </c>
      <c r="D69" s="52">
        <v>1.016081819E9</v>
      </c>
      <c r="E69" s="52" t="s">
        <v>1908</v>
      </c>
      <c r="F69" s="69">
        <v>45673.0</v>
      </c>
      <c r="G69" s="52" t="s">
        <v>383</v>
      </c>
      <c r="H69" s="52" t="s">
        <v>2177</v>
      </c>
      <c r="I69" s="52" t="s">
        <v>2177</v>
      </c>
      <c r="J69" s="52" t="s">
        <v>1478</v>
      </c>
      <c r="K69" s="52" t="s">
        <v>2029</v>
      </c>
      <c r="L69" s="52" t="s">
        <v>2010</v>
      </c>
      <c r="N69" s="52" t="s">
        <v>2010</v>
      </c>
      <c r="O69" s="69">
        <v>45671.0</v>
      </c>
      <c r="P69" s="52">
        <v>2.0251700003433E13</v>
      </c>
      <c r="Q69" s="52" t="s">
        <v>2029</v>
      </c>
      <c r="R69" s="69">
        <v>45672.0</v>
      </c>
      <c r="S69" s="52" t="s">
        <v>2461</v>
      </c>
      <c r="T69" s="52" t="s">
        <v>2013</v>
      </c>
      <c r="U69" s="52" t="s">
        <v>2462</v>
      </c>
      <c r="V69" s="52" t="s">
        <v>581</v>
      </c>
      <c r="W69" s="52" t="s">
        <v>1471</v>
      </c>
      <c r="X69" s="52" t="s">
        <v>583</v>
      </c>
      <c r="Y69" s="52" t="s">
        <v>382</v>
      </c>
      <c r="Z69" s="52" t="s">
        <v>2015</v>
      </c>
      <c r="AA69" s="52" t="s">
        <v>2016</v>
      </c>
      <c r="AB69" s="52" t="s">
        <v>2062</v>
      </c>
      <c r="AC69" s="52" t="s">
        <v>2018</v>
      </c>
      <c r="AD69" s="52" t="s">
        <v>587</v>
      </c>
      <c r="AE69" s="52" t="s">
        <v>2463</v>
      </c>
      <c r="AF69" s="70">
        <v>35029.0</v>
      </c>
      <c r="AG69" s="52">
        <v>30.0</v>
      </c>
      <c r="AH69" s="52" t="s">
        <v>1479</v>
      </c>
      <c r="AI69" s="52" t="s">
        <v>2464</v>
      </c>
      <c r="AJ69" s="52" t="s">
        <v>2465</v>
      </c>
      <c r="AK69" s="52" t="s">
        <v>2022</v>
      </c>
      <c r="AL69" s="52" t="s">
        <v>1578</v>
      </c>
      <c r="AM69" s="52" t="s">
        <v>1601</v>
      </c>
      <c r="AN69" s="52" t="s">
        <v>1602</v>
      </c>
      <c r="AO69" s="52" t="s">
        <v>1483</v>
      </c>
      <c r="AP69" s="52">
        <v>7525.0</v>
      </c>
      <c r="AQ69" s="52">
        <v>7525.0</v>
      </c>
      <c r="AR69" s="52" t="s">
        <v>384</v>
      </c>
      <c r="AS69" s="69">
        <v>45675.0</v>
      </c>
      <c r="AT69" s="70">
        <v>46022.0</v>
      </c>
      <c r="AU69" s="69">
        <v>45677.0</v>
      </c>
      <c r="AV69" s="70">
        <v>46022.0</v>
      </c>
      <c r="AW69" s="52" t="s">
        <v>1483</v>
      </c>
      <c r="AX69" s="52" t="s">
        <v>587</v>
      </c>
      <c r="AY69" s="52">
        <v>345.0</v>
      </c>
      <c r="AZ69" s="73" t="s">
        <v>2466</v>
      </c>
      <c r="BA69" s="73" t="s">
        <v>2467</v>
      </c>
      <c r="BB69" s="69">
        <v>45677.0</v>
      </c>
      <c r="BC69" s="52" t="s">
        <v>257</v>
      </c>
      <c r="BD69" s="52">
        <v>5.298137E7</v>
      </c>
      <c r="BE69" s="52" t="s">
        <v>2298</v>
      </c>
      <c r="BF69" s="52" t="s">
        <v>258</v>
      </c>
      <c r="BG69" s="52" t="s">
        <v>2041</v>
      </c>
      <c r="BH69" s="52" t="s">
        <v>380</v>
      </c>
      <c r="BI69" s="52" t="s">
        <v>2027</v>
      </c>
      <c r="BK69" s="52" t="s">
        <v>2010</v>
      </c>
    </row>
    <row r="70">
      <c r="A70" s="52">
        <v>61.0</v>
      </c>
      <c r="B70" s="52" t="s">
        <v>386</v>
      </c>
      <c r="C70" s="52" t="s">
        <v>2005</v>
      </c>
      <c r="D70" s="52">
        <v>1.018487193E9</v>
      </c>
      <c r="E70" s="52" t="s">
        <v>1908</v>
      </c>
      <c r="F70" s="69">
        <v>45672.0</v>
      </c>
      <c r="G70" s="52" t="s">
        <v>1603</v>
      </c>
      <c r="H70" s="52" t="s">
        <v>2177</v>
      </c>
      <c r="I70" s="52" t="s">
        <v>2177</v>
      </c>
      <c r="J70" s="52" t="s">
        <v>1478</v>
      </c>
      <c r="K70" s="52" t="s">
        <v>2029</v>
      </c>
      <c r="L70" s="52" t="s">
        <v>2010</v>
      </c>
      <c r="N70" s="52" t="s">
        <v>2010</v>
      </c>
      <c r="O70" s="69">
        <v>45671.0</v>
      </c>
      <c r="P70" s="52">
        <v>2.0251700003423E13</v>
      </c>
      <c r="Q70" s="52" t="s">
        <v>2029</v>
      </c>
      <c r="R70" s="69">
        <v>45672.0</v>
      </c>
      <c r="S70" s="52" t="s">
        <v>2468</v>
      </c>
      <c r="T70" s="52" t="s">
        <v>2013</v>
      </c>
      <c r="U70" s="52" t="s">
        <v>2469</v>
      </c>
      <c r="V70" s="52" t="s">
        <v>581</v>
      </c>
      <c r="W70" s="52" t="s">
        <v>1471</v>
      </c>
      <c r="X70" s="52" t="s">
        <v>583</v>
      </c>
      <c r="Y70" s="52" t="s">
        <v>387</v>
      </c>
      <c r="Z70" s="52" t="s">
        <v>2015</v>
      </c>
      <c r="AA70" s="52" t="s">
        <v>2016</v>
      </c>
      <c r="AB70" s="52" t="s">
        <v>2470</v>
      </c>
      <c r="AC70" s="52" t="s">
        <v>2033</v>
      </c>
      <c r="AD70" s="52" t="s">
        <v>587</v>
      </c>
      <c r="AE70" s="52" t="s">
        <v>2463</v>
      </c>
      <c r="AF70" s="69">
        <v>35257.0</v>
      </c>
      <c r="AG70" s="52">
        <v>29.0</v>
      </c>
      <c r="AH70" s="52" t="s">
        <v>1573</v>
      </c>
      <c r="AI70" s="52" t="s">
        <v>2471</v>
      </c>
      <c r="AJ70" s="52" t="s">
        <v>2472</v>
      </c>
      <c r="AK70" s="52" t="s">
        <v>2022</v>
      </c>
      <c r="AL70" s="52" t="s">
        <v>1578</v>
      </c>
      <c r="AM70" s="52" t="s">
        <v>1604</v>
      </c>
      <c r="AN70" s="52" t="s">
        <v>1605</v>
      </c>
      <c r="AO70" s="52" t="s">
        <v>1483</v>
      </c>
      <c r="AP70" s="52">
        <v>7625.0</v>
      </c>
      <c r="AQ70" s="52">
        <v>7025.0</v>
      </c>
      <c r="AR70" s="52" t="s">
        <v>384</v>
      </c>
      <c r="AS70" s="69">
        <v>45674.0</v>
      </c>
      <c r="AT70" s="70">
        <v>46022.0</v>
      </c>
      <c r="AU70" s="69">
        <v>45674.0</v>
      </c>
      <c r="AV70" s="70">
        <v>46022.0</v>
      </c>
      <c r="AW70" s="52" t="s">
        <v>1483</v>
      </c>
      <c r="AX70" s="52" t="s">
        <v>587</v>
      </c>
      <c r="AY70" s="52">
        <v>348.0</v>
      </c>
      <c r="AZ70" s="52" t="s">
        <v>2010</v>
      </c>
      <c r="BA70" s="73" t="s">
        <v>2473</v>
      </c>
    </row>
    <row r="71">
      <c r="B71" s="69">
        <v>45674.0</v>
      </c>
      <c r="C71" s="52" t="s">
        <v>389</v>
      </c>
      <c r="D71" s="52">
        <v>9.1518489E7</v>
      </c>
      <c r="E71" s="52" t="s">
        <v>2474</v>
      </c>
      <c r="F71" s="52" t="s">
        <v>390</v>
      </c>
      <c r="G71" s="52" t="s">
        <v>2041</v>
      </c>
      <c r="H71" s="52" t="s">
        <v>385</v>
      </c>
      <c r="I71" s="52" t="s">
        <v>2027</v>
      </c>
      <c r="K71" s="52" t="s">
        <v>2010</v>
      </c>
    </row>
    <row r="72">
      <c r="A72" s="52">
        <v>62.0</v>
      </c>
      <c r="B72" s="52" t="s">
        <v>392</v>
      </c>
      <c r="C72" s="52" t="s">
        <v>2005</v>
      </c>
      <c r="D72" s="52">
        <v>7.9448382E7</v>
      </c>
      <c r="E72" s="52" t="s">
        <v>1908</v>
      </c>
      <c r="F72" s="69">
        <v>45672.0</v>
      </c>
      <c r="G72" s="52" t="s">
        <v>394</v>
      </c>
      <c r="H72" s="52" t="s">
        <v>2363</v>
      </c>
      <c r="I72" s="52" t="s">
        <v>2028</v>
      </c>
      <c r="J72" s="52" t="s">
        <v>1478</v>
      </c>
      <c r="K72" s="52" t="s">
        <v>2029</v>
      </c>
      <c r="L72" s="52" t="s">
        <v>2010</v>
      </c>
      <c r="N72" s="52" t="s">
        <v>2010</v>
      </c>
      <c r="O72" s="69">
        <v>45671.0</v>
      </c>
      <c r="P72" s="52">
        <v>2.0251130003523E13</v>
      </c>
      <c r="Q72" s="52" t="s">
        <v>2029</v>
      </c>
      <c r="R72" s="69">
        <v>45672.0</v>
      </c>
      <c r="S72" s="52" t="s">
        <v>2475</v>
      </c>
      <c r="T72" s="52" t="s">
        <v>2013</v>
      </c>
      <c r="U72" s="52" t="s">
        <v>2476</v>
      </c>
      <c r="V72" s="52" t="s">
        <v>581</v>
      </c>
      <c r="W72" s="52" t="s">
        <v>1471</v>
      </c>
      <c r="X72" s="52" t="s">
        <v>583</v>
      </c>
      <c r="Y72" s="52" t="s">
        <v>393</v>
      </c>
      <c r="Z72" s="52" t="s">
        <v>2081</v>
      </c>
      <c r="AA72" s="52" t="s">
        <v>2016</v>
      </c>
      <c r="AB72" s="52" t="s">
        <v>2062</v>
      </c>
      <c r="AC72" s="52" t="s">
        <v>2114</v>
      </c>
      <c r="AD72" s="52" t="s">
        <v>587</v>
      </c>
      <c r="AE72" s="52" t="s">
        <v>2477</v>
      </c>
      <c r="AF72" s="70">
        <v>23329.0</v>
      </c>
      <c r="AG72" s="52">
        <v>62.0</v>
      </c>
      <c r="AH72" s="52" t="s">
        <v>1541</v>
      </c>
      <c r="AI72" s="52" t="s">
        <v>2478</v>
      </c>
      <c r="AJ72" s="52" t="s">
        <v>2479</v>
      </c>
      <c r="AK72" s="52" t="s">
        <v>2022</v>
      </c>
      <c r="AL72" s="52" t="s">
        <v>1606</v>
      </c>
      <c r="AM72" s="52" t="s">
        <v>587</v>
      </c>
      <c r="AN72" s="52" t="s">
        <v>1606</v>
      </c>
      <c r="AO72" s="52" t="s">
        <v>1483</v>
      </c>
      <c r="AP72" s="52">
        <v>4725.0</v>
      </c>
      <c r="AQ72" s="52">
        <v>6525.0</v>
      </c>
      <c r="AR72" s="52" t="s">
        <v>47</v>
      </c>
      <c r="AS72" s="69">
        <v>45673.0</v>
      </c>
      <c r="AT72" s="70">
        <v>45945.0</v>
      </c>
      <c r="AU72" s="69">
        <v>45673.0</v>
      </c>
      <c r="AV72" s="70">
        <v>45945.0</v>
      </c>
      <c r="AW72" s="52" t="s">
        <v>1483</v>
      </c>
      <c r="AX72" s="52" t="s">
        <v>587</v>
      </c>
      <c r="AY72" s="52">
        <v>272.0</v>
      </c>
      <c r="AZ72" s="52" t="s">
        <v>2010</v>
      </c>
      <c r="BA72" s="73" t="s">
        <v>2480</v>
      </c>
    </row>
    <row r="73">
      <c r="B73" s="69">
        <v>45673.0</v>
      </c>
      <c r="C73" s="52" t="s">
        <v>307</v>
      </c>
      <c r="D73" s="52">
        <v>5.2328908E7</v>
      </c>
      <c r="E73" s="52" t="s">
        <v>2321</v>
      </c>
      <c r="F73" s="52" t="s">
        <v>308</v>
      </c>
      <c r="G73" s="52" t="s">
        <v>2041</v>
      </c>
      <c r="H73" s="52" t="s">
        <v>391</v>
      </c>
      <c r="I73" s="52" t="s">
        <v>2027</v>
      </c>
      <c r="K73" s="52" t="s">
        <v>2010</v>
      </c>
    </row>
    <row r="74">
      <c r="A74" s="52">
        <v>63.0</v>
      </c>
      <c r="B74" s="52" t="s">
        <v>396</v>
      </c>
      <c r="C74" s="52" t="s">
        <v>2005</v>
      </c>
      <c r="D74" s="52">
        <v>1.013590021E9</v>
      </c>
      <c r="E74" s="52" t="s">
        <v>1908</v>
      </c>
      <c r="F74" s="69">
        <v>45672.0</v>
      </c>
      <c r="G74" s="52" t="s">
        <v>2481</v>
      </c>
      <c r="H74" s="52" t="s">
        <v>2363</v>
      </c>
      <c r="I74" s="52" t="s">
        <v>2028</v>
      </c>
      <c r="J74" s="52" t="s">
        <v>1470</v>
      </c>
      <c r="K74" s="52" t="s">
        <v>2029</v>
      </c>
      <c r="L74" s="52" t="s">
        <v>2010</v>
      </c>
      <c r="N74" s="52" t="s">
        <v>2010</v>
      </c>
      <c r="O74" s="69">
        <v>45671.0</v>
      </c>
      <c r="P74" s="52">
        <v>2.0251130003393E13</v>
      </c>
      <c r="Q74" s="52" t="s">
        <v>2029</v>
      </c>
      <c r="R74" s="69">
        <v>45671.0</v>
      </c>
      <c r="S74" s="52" t="s">
        <v>2482</v>
      </c>
      <c r="T74" s="52" t="s">
        <v>2013</v>
      </c>
      <c r="U74" s="52" t="s">
        <v>2483</v>
      </c>
      <c r="V74" s="52" t="s">
        <v>581</v>
      </c>
      <c r="W74" s="52" t="s">
        <v>1471</v>
      </c>
      <c r="X74" s="52" t="s">
        <v>583</v>
      </c>
      <c r="Y74" s="52" t="s">
        <v>397</v>
      </c>
      <c r="Z74" s="52" t="s">
        <v>2015</v>
      </c>
      <c r="AA74" s="52" t="s">
        <v>2016</v>
      </c>
      <c r="AB74" s="52" t="s">
        <v>2062</v>
      </c>
      <c r="AC74" s="52" t="s">
        <v>2018</v>
      </c>
      <c r="AD74" s="52" t="s">
        <v>587</v>
      </c>
      <c r="AE74" s="52" t="s">
        <v>2338</v>
      </c>
      <c r="AF74" s="69">
        <v>31971.0</v>
      </c>
      <c r="AG74" s="52">
        <v>38.0</v>
      </c>
      <c r="AH74" s="52" t="s">
        <v>1472</v>
      </c>
      <c r="AI74" s="52" t="s">
        <v>2484</v>
      </c>
      <c r="AJ74" s="52" t="s">
        <v>2485</v>
      </c>
      <c r="AK74" s="52" t="s">
        <v>2022</v>
      </c>
      <c r="AL74" s="52" t="s">
        <v>1608</v>
      </c>
      <c r="AM74" s="52" t="s">
        <v>587</v>
      </c>
      <c r="AN74" s="52" t="s">
        <v>1608</v>
      </c>
      <c r="AO74" s="52" t="s">
        <v>1483</v>
      </c>
      <c r="AP74" s="52">
        <v>6425.0</v>
      </c>
      <c r="AQ74" s="52">
        <v>6425.0</v>
      </c>
      <c r="AR74" s="52" t="s">
        <v>145</v>
      </c>
      <c r="AS74" s="69">
        <v>45672.0</v>
      </c>
      <c r="AT74" s="70">
        <v>46021.0</v>
      </c>
      <c r="AU74" s="69">
        <v>45673.0</v>
      </c>
      <c r="AV74" s="70">
        <v>46022.0</v>
      </c>
      <c r="AW74" s="52" t="s">
        <v>1483</v>
      </c>
      <c r="AX74" s="52" t="s">
        <v>587</v>
      </c>
      <c r="AY74" s="52">
        <v>349.0</v>
      </c>
      <c r="AZ74" s="52" t="s">
        <v>2010</v>
      </c>
      <c r="BA74" s="73" t="s">
        <v>2486</v>
      </c>
    </row>
    <row r="75">
      <c r="B75" s="69">
        <v>45673.0</v>
      </c>
      <c r="C75" s="52" t="s">
        <v>400</v>
      </c>
      <c r="D75" s="52">
        <v>8.0850931E7</v>
      </c>
      <c r="E75" s="52" t="s">
        <v>2167</v>
      </c>
      <c r="F75" s="52" t="s">
        <v>41</v>
      </c>
      <c r="G75" s="52" t="s">
        <v>1475</v>
      </c>
      <c r="H75" s="52" t="s">
        <v>395</v>
      </c>
      <c r="I75" s="52" t="s">
        <v>2027</v>
      </c>
      <c r="K75" s="52" t="s">
        <v>2010</v>
      </c>
    </row>
    <row r="76">
      <c r="A76" s="52">
        <v>64.0</v>
      </c>
      <c r="B76" s="52" t="s">
        <v>402</v>
      </c>
      <c r="C76" s="52" t="s">
        <v>2005</v>
      </c>
      <c r="D76" s="52">
        <v>1.090383442E9</v>
      </c>
      <c r="E76" s="52" t="s">
        <v>1908</v>
      </c>
      <c r="F76" s="69">
        <v>45672.0</v>
      </c>
      <c r="G76" s="52" t="s">
        <v>404</v>
      </c>
      <c r="H76" s="52" t="s">
        <v>2257</v>
      </c>
      <c r="I76" s="52" t="s">
        <v>2257</v>
      </c>
      <c r="J76" s="52" t="s">
        <v>1478</v>
      </c>
      <c r="K76" s="52" t="s">
        <v>2059</v>
      </c>
      <c r="L76" s="52" t="s">
        <v>2010</v>
      </c>
      <c r="N76" s="52" t="s">
        <v>2010</v>
      </c>
      <c r="O76" s="69">
        <v>45672.0</v>
      </c>
      <c r="P76" s="52">
        <v>2.0251800003673E13</v>
      </c>
      <c r="Q76" s="52" t="s">
        <v>2059</v>
      </c>
      <c r="R76" s="69">
        <v>45672.0</v>
      </c>
      <c r="S76" s="52" t="s">
        <v>2487</v>
      </c>
      <c r="T76" s="52" t="s">
        <v>2013</v>
      </c>
      <c r="U76" s="52" t="s">
        <v>2488</v>
      </c>
      <c r="V76" s="52" t="s">
        <v>581</v>
      </c>
      <c r="W76" s="52" t="s">
        <v>1471</v>
      </c>
      <c r="X76" s="52" t="s">
        <v>583</v>
      </c>
      <c r="Y76" s="52" t="s">
        <v>403</v>
      </c>
      <c r="Z76" s="52" t="s">
        <v>2015</v>
      </c>
      <c r="AA76" s="52" t="s">
        <v>2016</v>
      </c>
      <c r="AB76" s="52" t="s">
        <v>2032</v>
      </c>
      <c r="AC76" s="52" t="s">
        <v>2018</v>
      </c>
      <c r="AD76" s="52" t="s">
        <v>587</v>
      </c>
      <c r="AE76" s="52" t="s">
        <v>2489</v>
      </c>
      <c r="AF76" s="69">
        <v>31814.0</v>
      </c>
      <c r="AG76" s="52">
        <v>38.0</v>
      </c>
      <c r="AH76" s="52" t="s">
        <v>1528</v>
      </c>
      <c r="AI76" s="52" t="s">
        <v>2490</v>
      </c>
      <c r="AJ76" s="52" t="s">
        <v>2491</v>
      </c>
      <c r="AK76" s="52" t="s">
        <v>2022</v>
      </c>
      <c r="AL76" s="52" t="s">
        <v>1609</v>
      </c>
      <c r="AM76" s="52" t="s">
        <v>587</v>
      </c>
      <c r="AN76" s="52" t="s">
        <v>1609</v>
      </c>
      <c r="AO76" s="52" t="s">
        <v>1483</v>
      </c>
      <c r="AP76" s="52">
        <v>10115.0</v>
      </c>
      <c r="AQ76" s="52">
        <v>7425.0</v>
      </c>
      <c r="AR76" s="52" t="s">
        <v>228</v>
      </c>
      <c r="AS76" s="69">
        <v>45674.0</v>
      </c>
      <c r="AT76" s="70">
        <v>46022.0</v>
      </c>
      <c r="AU76" s="69">
        <v>45674.0</v>
      </c>
      <c r="AV76" s="70">
        <v>46022.0</v>
      </c>
      <c r="AW76" s="52" t="s">
        <v>1483</v>
      </c>
      <c r="AX76" s="52" t="s">
        <v>587</v>
      </c>
      <c r="AY76" s="52">
        <v>348.0</v>
      </c>
      <c r="AZ76" s="52" t="s">
        <v>2010</v>
      </c>
      <c r="BA76" s="73" t="s">
        <v>2492</v>
      </c>
    </row>
    <row r="77">
      <c r="B77" s="69">
        <v>45674.0</v>
      </c>
      <c r="C77" s="52" t="s">
        <v>405</v>
      </c>
      <c r="D77" s="52">
        <v>1.052400619E9</v>
      </c>
      <c r="E77" s="52" t="s">
        <v>2493</v>
      </c>
      <c r="F77" s="52" t="s">
        <v>223</v>
      </c>
      <c r="G77" s="52" t="s">
        <v>2041</v>
      </c>
      <c r="H77" s="52" t="s">
        <v>401</v>
      </c>
      <c r="I77" s="52" t="s">
        <v>2027</v>
      </c>
      <c r="K77" s="52" t="s">
        <v>2010</v>
      </c>
    </row>
    <row r="78">
      <c r="A78" s="52">
        <v>65.0</v>
      </c>
      <c r="B78" s="52" t="s">
        <v>407</v>
      </c>
      <c r="C78" s="52" t="s">
        <v>2005</v>
      </c>
      <c r="D78" s="52">
        <v>1.032504965E9</v>
      </c>
      <c r="E78" s="52" t="s">
        <v>1908</v>
      </c>
      <c r="F78" s="69">
        <v>45672.0</v>
      </c>
      <c r="G78" s="52" t="s">
        <v>409</v>
      </c>
      <c r="H78" s="52" t="s">
        <v>2088</v>
      </c>
      <c r="I78" s="52" t="s">
        <v>2088</v>
      </c>
      <c r="J78" s="52" t="s">
        <v>1478</v>
      </c>
      <c r="K78" s="52" t="s">
        <v>2059</v>
      </c>
      <c r="L78" s="52" t="s">
        <v>2010</v>
      </c>
      <c r="N78" s="52" t="s">
        <v>2010</v>
      </c>
      <c r="O78" s="69">
        <v>45672.0</v>
      </c>
      <c r="P78" s="52">
        <v>2.0251000003683E13</v>
      </c>
      <c r="Q78" s="52" t="s">
        <v>2059</v>
      </c>
      <c r="R78" s="69">
        <v>45672.0</v>
      </c>
      <c r="S78" s="52" t="s">
        <v>2494</v>
      </c>
      <c r="T78" s="52" t="s">
        <v>2013</v>
      </c>
      <c r="U78" s="52" t="s">
        <v>2495</v>
      </c>
      <c r="V78" s="52" t="s">
        <v>581</v>
      </c>
      <c r="W78" s="52" t="s">
        <v>1471</v>
      </c>
      <c r="X78" s="52" t="s">
        <v>583</v>
      </c>
      <c r="Y78" s="52" t="s">
        <v>408</v>
      </c>
      <c r="Z78" s="52" t="s">
        <v>2015</v>
      </c>
      <c r="AA78" s="52" t="s">
        <v>2016</v>
      </c>
      <c r="AB78" s="52" t="s">
        <v>2017</v>
      </c>
      <c r="AC78" s="52" t="s">
        <v>2018</v>
      </c>
      <c r="AD78" s="52" t="s">
        <v>587</v>
      </c>
      <c r="AE78" s="52" t="s">
        <v>2463</v>
      </c>
      <c r="AF78" s="69">
        <v>36312.0</v>
      </c>
      <c r="AG78" s="52">
        <v>26.0</v>
      </c>
      <c r="AH78" s="52" t="s">
        <v>1526</v>
      </c>
      <c r="AI78" s="52" t="s">
        <v>2496</v>
      </c>
      <c r="AJ78" s="52" t="s">
        <v>2497</v>
      </c>
      <c r="AK78" s="52" t="s">
        <v>2022</v>
      </c>
      <c r="AL78" s="52" t="s">
        <v>1610</v>
      </c>
      <c r="AM78" s="52" t="s">
        <v>587</v>
      </c>
      <c r="AN78" s="52" t="s">
        <v>1610</v>
      </c>
      <c r="AO78" s="52" t="s">
        <v>1483</v>
      </c>
      <c r="AP78" s="52">
        <v>4425.0</v>
      </c>
      <c r="AQ78" s="52">
        <v>7325.0</v>
      </c>
      <c r="AR78" s="52" t="s">
        <v>77</v>
      </c>
      <c r="AS78" s="69">
        <v>45674.0</v>
      </c>
      <c r="AT78" s="70">
        <v>46022.0</v>
      </c>
      <c r="AU78" s="69">
        <v>45674.0</v>
      </c>
      <c r="AV78" s="70">
        <v>46022.0</v>
      </c>
      <c r="AW78" s="52" t="s">
        <v>1483</v>
      </c>
      <c r="AX78" s="52" t="s">
        <v>587</v>
      </c>
      <c r="AY78" s="52">
        <v>348.0</v>
      </c>
      <c r="AZ78" s="52" t="s">
        <v>2010</v>
      </c>
      <c r="BA78" s="73" t="s">
        <v>2498</v>
      </c>
    </row>
    <row r="79">
      <c r="B79" s="69">
        <v>45674.0</v>
      </c>
      <c r="C79" s="52" t="s">
        <v>410</v>
      </c>
      <c r="D79" s="69">
        <v>1.0012294E7</v>
      </c>
      <c r="E79" s="52" t="s">
        <v>2112</v>
      </c>
      <c r="F79" s="52" t="s">
        <v>100</v>
      </c>
      <c r="G79" s="52" t="s">
        <v>2041</v>
      </c>
      <c r="H79" s="52" t="s">
        <v>406</v>
      </c>
      <c r="I79" s="52" t="s">
        <v>2027</v>
      </c>
      <c r="K79" s="52" t="s">
        <v>2010</v>
      </c>
    </row>
    <row r="80">
      <c r="A80" s="52">
        <v>66.0</v>
      </c>
      <c r="B80" s="52" t="s">
        <v>412</v>
      </c>
      <c r="C80" s="52" t="s">
        <v>2005</v>
      </c>
      <c r="D80" s="52">
        <v>1.020804167E9</v>
      </c>
      <c r="E80" s="52" t="s">
        <v>1908</v>
      </c>
      <c r="F80" s="69">
        <v>45672.0</v>
      </c>
      <c r="G80" s="52" t="s">
        <v>1611</v>
      </c>
      <c r="H80" s="52" t="s">
        <v>2008</v>
      </c>
      <c r="I80" s="52" t="s">
        <v>2008</v>
      </c>
      <c r="J80" s="52" t="s">
        <v>1478</v>
      </c>
      <c r="K80" s="52" t="s">
        <v>2098</v>
      </c>
      <c r="L80" s="52" t="s">
        <v>2010</v>
      </c>
      <c r="N80" s="52" t="s">
        <v>2010</v>
      </c>
      <c r="O80" s="69">
        <v>45672.0</v>
      </c>
      <c r="P80" s="52">
        <v>2.0251610003693E13</v>
      </c>
      <c r="Q80" s="52" t="s">
        <v>2098</v>
      </c>
      <c r="R80" s="69">
        <v>45672.0</v>
      </c>
      <c r="S80" s="52" t="s">
        <v>2499</v>
      </c>
      <c r="T80" s="52" t="s">
        <v>2013</v>
      </c>
      <c r="U80" s="52" t="s">
        <v>2500</v>
      </c>
      <c r="V80" s="52" t="s">
        <v>581</v>
      </c>
      <c r="W80" s="52" t="s">
        <v>1471</v>
      </c>
      <c r="X80" s="52" t="s">
        <v>583</v>
      </c>
      <c r="Y80" s="52" t="s">
        <v>413</v>
      </c>
      <c r="Z80" s="52" t="s">
        <v>2015</v>
      </c>
      <c r="AA80" s="52" t="s">
        <v>2054</v>
      </c>
      <c r="AB80" s="52" t="s">
        <v>2032</v>
      </c>
      <c r="AC80" s="52" t="s">
        <v>2033</v>
      </c>
      <c r="AD80" s="52" t="s">
        <v>587</v>
      </c>
      <c r="AE80" s="52" t="s">
        <v>2501</v>
      </c>
      <c r="AF80" s="69">
        <v>34808.0</v>
      </c>
      <c r="AG80" s="52">
        <v>30.0</v>
      </c>
      <c r="AH80" s="52" t="s">
        <v>2502</v>
      </c>
      <c r="AI80" s="52" t="s">
        <v>2503</v>
      </c>
      <c r="AJ80" s="52" t="s">
        <v>2504</v>
      </c>
      <c r="AK80" s="52" t="s">
        <v>2022</v>
      </c>
      <c r="AL80" s="52" t="s">
        <v>1613</v>
      </c>
      <c r="AM80" s="52" t="s">
        <v>1614</v>
      </c>
      <c r="AN80" s="52" t="s">
        <v>1615</v>
      </c>
      <c r="AO80" s="52" t="s">
        <v>1483</v>
      </c>
      <c r="AP80" s="52">
        <v>10225.0</v>
      </c>
      <c r="AQ80" s="52">
        <v>6925.0</v>
      </c>
      <c r="AR80" s="52" t="s">
        <v>415</v>
      </c>
      <c r="AS80" s="69">
        <v>45674.0</v>
      </c>
      <c r="AT80" s="70">
        <v>46013.0</v>
      </c>
      <c r="AU80" s="69">
        <v>45674.0</v>
      </c>
      <c r="AV80" s="70">
        <v>46013.0</v>
      </c>
      <c r="AW80" s="52" t="s">
        <v>1483</v>
      </c>
      <c r="AX80" s="52" t="s">
        <v>587</v>
      </c>
      <c r="AY80" s="52">
        <v>339.0</v>
      </c>
      <c r="AZ80" s="52" t="s">
        <v>2010</v>
      </c>
      <c r="BA80" s="73" t="s">
        <v>2505</v>
      </c>
      <c r="BB80" s="69">
        <v>45674.0</v>
      </c>
      <c r="BC80" s="52" t="s">
        <v>289</v>
      </c>
      <c r="BD80" s="52">
        <v>5.2170568E7</v>
      </c>
      <c r="BE80" s="52" t="s">
        <v>2342</v>
      </c>
      <c r="BF80" s="52" t="s">
        <v>165</v>
      </c>
      <c r="BG80" s="52" t="s">
        <v>2041</v>
      </c>
      <c r="BH80" s="52" t="s">
        <v>411</v>
      </c>
      <c r="BI80" s="52" t="s">
        <v>2027</v>
      </c>
      <c r="BK80" s="52" t="s">
        <v>2010</v>
      </c>
    </row>
    <row r="81">
      <c r="A81" s="52">
        <v>67.0</v>
      </c>
      <c r="B81" s="52" t="s">
        <v>417</v>
      </c>
      <c r="C81" s="52" t="s">
        <v>2005</v>
      </c>
      <c r="D81" s="52">
        <v>1.05382899E9</v>
      </c>
      <c r="E81" s="52" t="s">
        <v>1908</v>
      </c>
      <c r="F81" s="69">
        <v>45674.0</v>
      </c>
      <c r="G81" s="52" t="s">
        <v>419</v>
      </c>
      <c r="H81" s="52" t="s">
        <v>2042</v>
      </c>
      <c r="I81" s="52" t="s">
        <v>2042</v>
      </c>
      <c r="J81" s="52" t="s">
        <v>1478</v>
      </c>
      <c r="K81" s="52" t="s">
        <v>2213</v>
      </c>
      <c r="L81" s="52" t="s">
        <v>2010</v>
      </c>
      <c r="N81" s="52" t="s">
        <v>2010</v>
      </c>
      <c r="O81" s="69">
        <v>45672.0</v>
      </c>
      <c r="P81" s="52" t="s">
        <v>2506</v>
      </c>
      <c r="Q81" s="52" t="s">
        <v>2213</v>
      </c>
      <c r="R81" s="52" t="s">
        <v>2507</v>
      </c>
      <c r="S81" s="52" t="s">
        <v>2508</v>
      </c>
      <c r="T81" s="52" t="s">
        <v>2013</v>
      </c>
      <c r="U81" s="52" t="s">
        <v>2509</v>
      </c>
      <c r="V81" s="52" t="s">
        <v>581</v>
      </c>
      <c r="W81" s="52" t="s">
        <v>1471</v>
      </c>
      <c r="X81" s="52" t="s">
        <v>583</v>
      </c>
      <c r="Y81" s="52" t="s">
        <v>1616</v>
      </c>
      <c r="Z81" s="52" t="s">
        <v>2015</v>
      </c>
      <c r="AA81" s="52" t="s">
        <v>2016</v>
      </c>
      <c r="AB81" s="52" t="s">
        <v>2032</v>
      </c>
      <c r="AC81" s="52" t="s">
        <v>2054</v>
      </c>
      <c r="AD81" s="52" t="s">
        <v>587</v>
      </c>
      <c r="AE81" s="52" t="s">
        <v>2510</v>
      </c>
      <c r="AF81" s="69">
        <v>34214.0</v>
      </c>
      <c r="AG81" s="52">
        <v>32.0</v>
      </c>
      <c r="AH81" s="52" t="s">
        <v>1504</v>
      </c>
      <c r="AI81" s="52" t="s">
        <v>2511</v>
      </c>
      <c r="AJ81" s="52" t="s">
        <v>2512</v>
      </c>
      <c r="AK81" s="52" t="s">
        <v>2022</v>
      </c>
      <c r="AL81" s="52" t="s">
        <v>1617</v>
      </c>
      <c r="AM81" s="52" t="s">
        <v>587</v>
      </c>
      <c r="AN81" s="52" t="s">
        <v>1617</v>
      </c>
      <c r="AO81" s="52" t="s">
        <v>1483</v>
      </c>
      <c r="AP81" s="52">
        <v>10025.0</v>
      </c>
      <c r="AQ81" s="52">
        <v>9425.0</v>
      </c>
      <c r="AR81" s="52" t="s">
        <v>1619</v>
      </c>
      <c r="AS81" s="69">
        <v>45675.0</v>
      </c>
      <c r="AT81" s="70">
        <v>46018.0</v>
      </c>
      <c r="AU81" s="69">
        <v>45678.0</v>
      </c>
      <c r="AV81" s="70">
        <v>46018.0</v>
      </c>
      <c r="AW81" s="52" t="s">
        <v>1483</v>
      </c>
      <c r="AX81" s="52" t="s">
        <v>587</v>
      </c>
      <c r="AY81" s="52">
        <v>340.0</v>
      </c>
      <c r="AZ81" s="52" t="s">
        <v>2010</v>
      </c>
      <c r="BA81" s="73" t="s">
        <v>2513</v>
      </c>
    </row>
    <row r="82">
      <c r="B82" s="69">
        <v>45678.0</v>
      </c>
      <c r="C82" s="52" t="s">
        <v>421</v>
      </c>
      <c r="D82" s="52">
        <v>1.015413577E9</v>
      </c>
      <c r="E82" s="52" t="s">
        <v>2514</v>
      </c>
      <c r="F82" s="52" t="s">
        <v>182</v>
      </c>
      <c r="G82" s="52" t="s">
        <v>2041</v>
      </c>
      <c r="H82" s="52" t="s">
        <v>416</v>
      </c>
      <c r="I82" s="52" t="s">
        <v>2027</v>
      </c>
      <c r="K82" s="52" t="s">
        <v>2010</v>
      </c>
    </row>
    <row r="83">
      <c r="A83" s="52">
        <v>68.0</v>
      </c>
      <c r="B83" s="52" t="s">
        <v>424</v>
      </c>
      <c r="C83" s="52" t="s">
        <v>2005</v>
      </c>
      <c r="D83" s="52">
        <v>1.020786621E9</v>
      </c>
      <c r="E83" s="52" t="s">
        <v>1908</v>
      </c>
      <c r="F83" s="69">
        <v>45673.0</v>
      </c>
      <c r="G83" s="52" t="s">
        <v>1620</v>
      </c>
      <c r="H83" s="52" t="s">
        <v>2143</v>
      </c>
      <c r="I83" s="52" t="s">
        <v>2143</v>
      </c>
      <c r="J83" s="52" t="s">
        <v>1478</v>
      </c>
      <c r="K83" s="52" t="s">
        <v>2515</v>
      </c>
      <c r="L83" s="52" t="s">
        <v>2010</v>
      </c>
      <c r="N83" s="52" t="s">
        <v>2010</v>
      </c>
      <c r="O83" s="69">
        <v>45673.0</v>
      </c>
      <c r="P83" s="52">
        <v>2.0251010004073E13</v>
      </c>
      <c r="Q83" s="52" t="s">
        <v>2515</v>
      </c>
      <c r="R83" s="69">
        <v>45673.0</v>
      </c>
      <c r="S83" s="52" t="s">
        <v>2516</v>
      </c>
      <c r="T83" s="52" t="s">
        <v>2013</v>
      </c>
      <c r="U83" s="52" t="s">
        <v>2517</v>
      </c>
      <c r="V83" s="52" t="s">
        <v>581</v>
      </c>
      <c r="W83" s="52" t="s">
        <v>1471</v>
      </c>
      <c r="X83" s="52" t="s">
        <v>583</v>
      </c>
      <c r="Y83" s="52" t="s">
        <v>425</v>
      </c>
      <c r="Z83" s="52" t="s">
        <v>2015</v>
      </c>
      <c r="AA83" s="52" t="s">
        <v>2016</v>
      </c>
      <c r="AB83" s="52" t="s">
        <v>2228</v>
      </c>
      <c r="AC83" s="52" t="s">
        <v>2054</v>
      </c>
      <c r="AD83" s="52" t="s">
        <v>587</v>
      </c>
      <c r="AE83" s="52" t="s">
        <v>2463</v>
      </c>
      <c r="AF83" s="70">
        <v>34272.0</v>
      </c>
      <c r="AG83" s="52">
        <v>32.0</v>
      </c>
      <c r="AH83" s="52" t="s">
        <v>1621</v>
      </c>
      <c r="AI83" s="52" t="s">
        <v>2518</v>
      </c>
      <c r="AJ83" s="52" t="s">
        <v>2519</v>
      </c>
      <c r="AK83" s="52" t="s">
        <v>2022</v>
      </c>
      <c r="AL83" s="52" t="s">
        <v>1508</v>
      </c>
      <c r="AM83" s="52" t="s">
        <v>587</v>
      </c>
      <c r="AN83" s="52" t="s">
        <v>1508</v>
      </c>
      <c r="AO83" s="52" t="s">
        <v>1483</v>
      </c>
      <c r="AP83" s="52">
        <v>9325.0</v>
      </c>
      <c r="AQ83" s="52">
        <v>7825.0</v>
      </c>
      <c r="AR83" s="52" t="s">
        <v>1622</v>
      </c>
      <c r="AS83" s="69">
        <v>45675.0</v>
      </c>
      <c r="AT83" s="70">
        <v>46022.0</v>
      </c>
      <c r="AU83" s="69">
        <v>45677.0</v>
      </c>
      <c r="AV83" s="70">
        <v>46022.0</v>
      </c>
      <c r="AW83" s="52" t="s">
        <v>1483</v>
      </c>
      <c r="AX83" s="52" t="s">
        <v>587</v>
      </c>
      <c r="AY83" s="52">
        <v>345.0</v>
      </c>
      <c r="AZ83" s="52" t="s">
        <v>2010</v>
      </c>
      <c r="BA83" s="73" t="s">
        <v>2520</v>
      </c>
    </row>
    <row r="84">
      <c r="B84" s="69">
        <v>45677.0</v>
      </c>
      <c r="C84" s="52" t="s">
        <v>428</v>
      </c>
      <c r="D84" s="52">
        <v>5.3031432E7</v>
      </c>
      <c r="E84" s="52" t="s">
        <v>2521</v>
      </c>
      <c r="F84" s="52" t="s">
        <v>128</v>
      </c>
      <c r="G84" s="52" t="s">
        <v>2041</v>
      </c>
      <c r="H84" s="52" t="s">
        <v>423</v>
      </c>
      <c r="I84" s="52" t="s">
        <v>2027</v>
      </c>
      <c r="K84" s="52" t="s">
        <v>2010</v>
      </c>
    </row>
    <row r="85">
      <c r="A85" s="52">
        <v>69.0</v>
      </c>
      <c r="B85" s="52" t="s">
        <v>430</v>
      </c>
      <c r="C85" s="52" t="s">
        <v>2005</v>
      </c>
      <c r="D85" s="52">
        <v>1.065837239E9</v>
      </c>
      <c r="E85" s="52" t="s">
        <v>1908</v>
      </c>
      <c r="F85" s="69">
        <v>45673.0</v>
      </c>
      <c r="G85" s="52" t="s">
        <v>432</v>
      </c>
      <c r="H85" s="52" t="s">
        <v>2068</v>
      </c>
      <c r="I85" s="52" t="s">
        <v>2068</v>
      </c>
      <c r="J85" s="52" t="s">
        <v>1478</v>
      </c>
      <c r="K85" s="52" t="s">
        <v>2059</v>
      </c>
      <c r="L85" s="52" t="s">
        <v>2010</v>
      </c>
      <c r="N85" s="52" t="s">
        <v>2010</v>
      </c>
      <c r="O85" s="69">
        <v>45672.0</v>
      </c>
      <c r="P85" s="52">
        <v>2.0251900003863E13</v>
      </c>
      <c r="Q85" s="52" t="s">
        <v>2059</v>
      </c>
      <c r="R85" s="69">
        <v>45673.0</v>
      </c>
      <c r="S85" s="52" t="s">
        <v>2522</v>
      </c>
      <c r="T85" s="52" t="s">
        <v>2013</v>
      </c>
      <c r="U85" s="52" t="s">
        <v>2523</v>
      </c>
      <c r="V85" s="52" t="s">
        <v>581</v>
      </c>
      <c r="W85" s="52" t="s">
        <v>1471</v>
      </c>
      <c r="X85" s="52" t="s">
        <v>583</v>
      </c>
      <c r="Y85" s="52" t="s">
        <v>431</v>
      </c>
      <c r="Z85" s="52" t="s">
        <v>2081</v>
      </c>
      <c r="AA85" s="52" t="s">
        <v>2016</v>
      </c>
      <c r="AB85" s="52" t="s">
        <v>2228</v>
      </c>
      <c r="AC85" s="52" t="s">
        <v>2033</v>
      </c>
      <c r="AD85" s="52" t="s">
        <v>587</v>
      </c>
      <c r="AE85" s="52" t="s">
        <v>2524</v>
      </c>
      <c r="AF85" s="70">
        <v>35778.0</v>
      </c>
      <c r="AG85" s="52">
        <v>28.0</v>
      </c>
      <c r="AH85" s="52" t="s">
        <v>1472</v>
      </c>
      <c r="AI85" s="52" t="s">
        <v>2525</v>
      </c>
      <c r="AJ85" s="52" t="s">
        <v>2526</v>
      </c>
      <c r="AK85" s="52" t="s">
        <v>2022</v>
      </c>
      <c r="AL85" s="52" t="s">
        <v>1623</v>
      </c>
      <c r="AM85" s="52" t="s">
        <v>587</v>
      </c>
      <c r="AN85" s="52" t="s">
        <v>1623</v>
      </c>
      <c r="AO85" s="52" t="s">
        <v>1483</v>
      </c>
      <c r="AP85" s="52">
        <v>1625.0</v>
      </c>
      <c r="AQ85" s="52">
        <v>7925.0</v>
      </c>
      <c r="AR85" s="52" t="s">
        <v>367</v>
      </c>
      <c r="AS85" s="69">
        <v>45675.0</v>
      </c>
      <c r="AT85" s="70">
        <v>46022.0</v>
      </c>
      <c r="AU85" s="69">
        <v>45677.0</v>
      </c>
      <c r="AV85" s="70">
        <v>46022.0</v>
      </c>
      <c r="AW85" s="52" t="s">
        <v>1483</v>
      </c>
      <c r="AX85" s="52" t="s">
        <v>587</v>
      </c>
      <c r="AY85" s="52">
        <v>345.0</v>
      </c>
      <c r="AZ85" s="52" t="s">
        <v>2010</v>
      </c>
      <c r="BA85" s="73" t="s">
        <v>2527</v>
      </c>
    </row>
    <row r="86">
      <c r="B86" s="69">
        <v>45677.0</v>
      </c>
      <c r="C86" s="52" t="s">
        <v>433</v>
      </c>
      <c r="D86" s="52">
        <v>1.02071366E9</v>
      </c>
      <c r="E86" s="52" t="s">
        <v>2528</v>
      </c>
      <c r="F86" s="52" t="s">
        <v>223</v>
      </c>
      <c r="G86" s="52" t="s">
        <v>2041</v>
      </c>
      <c r="H86" s="52" t="s">
        <v>429</v>
      </c>
      <c r="I86" s="52" t="s">
        <v>2027</v>
      </c>
      <c r="K86" s="52" t="s">
        <v>2010</v>
      </c>
    </row>
    <row r="87">
      <c r="A87" s="52">
        <v>70.0</v>
      </c>
      <c r="B87" s="52" t="s">
        <v>1624</v>
      </c>
      <c r="C87" s="52" t="s">
        <v>2005</v>
      </c>
      <c r="D87" s="52">
        <v>1.022406922E9</v>
      </c>
      <c r="E87" s="52" t="s">
        <v>1908</v>
      </c>
      <c r="F87" s="69">
        <v>45673.0</v>
      </c>
      <c r="G87" s="52" t="s">
        <v>437</v>
      </c>
      <c r="H87" s="52" t="s">
        <v>2008</v>
      </c>
      <c r="I87" s="52" t="s">
        <v>2008</v>
      </c>
      <c r="J87" s="52" t="s">
        <v>1470</v>
      </c>
      <c r="K87" s="52" t="s">
        <v>2098</v>
      </c>
      <c r="L87" s="52" t="s">
        <v>2010</v>
      </c>
      <c r="N87" s="52" t="s">
        <v>2010</v>
      </c>
      <c r="O87" s="69">
        <v>45672.0</v>
      </c>
      <c r="P87" s="52">
        <v>2.0251300003833E13</v>
      </c>
      <c r="Q87" s="52" t="s">
        <v>2098</v>
      </c>
      <c r="R87" s="69">
        <v>45673.0</v>
      </c>
      <c r="S87" s="52" t="s">
        <v>2529</v>
      </c>
      <c r="T87" s="52" t="s">
        <v>2013</v>
      </c>
      <c r="U87" s="52" t="s">
        <v>2530</v>
      </c>
      <c r="V87" s="52" t="s">
        <v>581</v>
      </c>
      <c r="W87" s="52" t="s">
        <v>1471</v>
      </c>
      <c r="X87" s="52" t="s">
        <v>583</v>
      </c>
      <c r="Y87" s="52" t="s">
        <v>436</v>
      </c>
      <c r="Z87" s="52" t="s">
        <v>2081</v>
      </c>
      <c r="AA87" s="52" t="s">
        <v>2016</v>
      </c>
      <c r="AB87" s="52" t="s">
        <v>2017</v>
      </c>
      <c r="AC87" s="52" t="s">
        <v>2018</v>
      </c>
      <c r="AD87" s="52" t="s">
        <v>587</v>
      </c>
      <c r="AE87" s="52" t="s">
        <v>2463</v>
      </c>
      <c r="AF87" s="69">
        <v>34934.0</v>
      </c>
      <c r="AG87" s="52">
        <v>30.0</v>
      </c>
      <c r="AH87" s="52" t="s">
        <v>1625</v>
      </c>
      <c r="AI87" s="52" t="s">
        <v>2531</v>
      </c>
      <c r="AJ87" s="52" t="s">
        <v>2532</v>
      </c>
      <c r="AK87" s="52" t="s">
        <v>2022</v>
      </c>
      <c r="AL87" s="52" t="s">
        <v>1626</v>
      </c>
      <c r="AM87" s="52" t="s">
        <v>587</v>
      </c>
      <c r="AN87" s="52" t="s">
        <v>1626</v>
      </c>
      <c r="AO87" s="52" t="s">
        <v>1483</v>
      </c>
      <c r="AP87" s="52">
        <v>9725.0</v>
      </c>
      <c r="AQ87" s="52">
        <v>8025.0</v>
      </c>
      <c r="AR87" s="52" t="s">
        <v>91</v>
      </c>
      <c r="AS87" s="69">
        <v>45675.0</v>
      </c>
      <c r="AT87" s="70">
        <v>45991.0</v>
      </c>
      <c r="AU87" s="69">
        <v>45677.0</v>
      </c>
      <c r="AV87" s="70">
        <v>45991.0</v>
      </c>
      <c r="AW87" s="52" t="s">
        <v>1483</v>
      </c>
      <c r="AX87" s="52" t="s">
        <v>587</v>
      </c>
      <c r="AY87" s="52">
        <v>314.0</v>
      </c>
      <c r="AZ87" s="52" t="s">
        <v>2010</v>
      </c>
      <c r="BA87" s="73" t="s">
        <v>2533</v>
      </c>
    </row>
    <row r="88">
      <c r="B88" s="69">
        <v>45677.0</v>
      </c>
      <c r="C88" s="52" t="s">
        <v>438</v>
      </c>
      <c r="D88" s="52">
        <v>7.9565032E7</v>
      </c>
      <c r="E88" s="52" t="s">
        <v>2534</v>
      </c>
      <c r="F88" s="52" t="s">
        <v>134</v>
      </c>
      <c r="G88" s="52" t="s">
        <v>2041</v>
      </c>
      <c r="H88" s="52" t="s">
        <v>434</v>
      </c>
      <c r="I88" s="52" t="s">
        <v>2027</v>
      </c>
      <c r="K88" s="52" t="s">
        <v>2010</v>
      </c>
    </row>
    <row r="89">
      <c r="A89" s="52">
        <v>71.0</v>
      </c>
      <c r="B89" s="52" t="s">
        <v>440</v>
      </c>
      <c r="C89" s="52" t="s">
        <v>2005</v>
      </c>
      <c r="D89" s="52">
        <v>5.2354579E7</v>
      </c>
      <c r="E89" s="52" t="s">
        <v>1908</v>
      </c>
      <c r="F89" s="69">
        <v>45674.0</v>
      </c>
      <c r="G89" s="52" t="s">
        <v>442</v>
      </c>
      <c r="H89" s="52" t="s">
        <v>2299</v>
      </c>
      <c r="I89" s="52" t="s">
        <v>2299</v>
      </c>
      <c r="J89" s="52" t="s">
        <v>1478</v>
      </c>
      <c r="K89" s="52" t="s">
        <v>2069</v>
      </c>
      <c r="L89" s="52" t="s">
        <v>2010</v>
      </c>
      <c r="N89" s="52" t="s">
        <v>2010</v>
      </c>
      <c r="O89" s="69">
        <v>45672.0</v>
      </c>
      <c r="P89" s="52" t="s">
        <v>2535</v>
      </c>
      <c r="Q89" s="52" t="s">
        <v>2069</v>
      </c>
      <c r="R89" s="69">
        <v>45673.0</v>
      </c>
      <c r="S89" s="52" t="s">
        <v>2536</v>
      </c>
      <c r="T89" s="52" t="s">
        <v>2013</v>
      </c>
      <c r="U89" s="52" t="s">
        <v>2537</v>
      </c>
      <c r="V89" s="52" t="s">
        <v>581</v>
      </c>
      <c r="W89" s="52" t="s">
        <v>1471</v>
      </c>
      <c r="X89" s="52" t="s">
        <v>583</v>
      </c>
      <c r="Y89" s="52" t="s">
        <v>441</v>
      </c>
      <c r="Z89" s="52" t="s">
        <v>2015</v>
      </c>
      <c r="AA89" s="52" t="s">
        <v>2016</v>
      </c>
      <c r="AB89" s="52" t="s">
        <v>2062</v>
      </c>
      <c r="AC89" s="52" t="s">
        <v>2033</v>
      </c>
      <c r="AD89" s="52" t="s">
        <v>587</v>
      </c>
      <c r="AE89" s="52" t="s">
        <v>2463</v>
      </c>
      <c r="AF89" s="70">
        <v>29215.0</v>
      </c>
      <c r="AG89" s="52">
        <v>46.0</v>
      </c>
      <c r="AH89" s="52" t="s">
        <v>1625</v>
      </c>
      <c r="AI89" s="52" t="s">
        <v>2538</v>
      </c>
      <c r="AJ89" s="52" t="s">
        <v>2539</v>
      </c>
      <c r="AK89" s="52" t="s">
        <v>2022</v>
      </c>
      <c r="AL89" s="52" t="s">
        <v>1627</v>
      </c>
      <c r="AM89" s="52" t="s">
        <v>587</v>
      </c>
      <c r="AN89" s="52" t="s">
        <v>1627</v>
      </c>
      <c r="AO89" s="52" t="s">
        <v>1483</v>
      </c>
      <c r="AP89" s="52">
        <v>5425.0</v>
      </c>
      <c r="AQ89" s="52">
        <v>8425.0</v>
      </c>
      <c r="AR89" s="52" t="s">
        <v>62</v>
      </c>
      <c r="AS89" s="69">
        <v>45675.0</v>
      </c>
      <c r="AT89" s="70">
        <v>46010.0</v>
      </c>
      <c r="AU89" s="69">
        <v>45677.0</v>
      </c>
      <c r="AV89" s="70">
        <v>46010.0</v>
      </c>
      <c r="AW89" s="52" t="s">
        <v>1483</v>
      </c>
      <c r="AX89" s="52" t="s">
        <v>587</v>
      </c>
      <c r="AY89" s="52">
        <v>333.0</v>
      </c>
      <c r="AZ89" s="52" t="s">
        <v>2010</v>
      </c>
      <c r="BA89" s="73" t="s">
        <v>2540</v>
      </c>
    </row>
    <row r="90">
      <c r="B90" s="69">
        <v>45677.0</v>
      </c>
      <c r="C90" s="52" t="s">
        <v>192</v>
      </c>
      <c r="D90" s="52">
        <v>7.9522477E7</v>
      </c>
      <c r="E90" s="52" t="s">
        <v>2306</v>
      </c>
      <c r="F90" s="52" t="s">
        <v>193</v>
      </c>
      <c r="G90" s="52" t="s">
        <v>2041</v>
      </c>
      <c r="H90" s="52" t="s">
        <v>439</v>
      </c>
      <c r="I90" s="52" t="s">
        <v>2027</v>
      </c>
      <c r="K90" s="52" t="s">
        <v>2010</v>
      </c>
    </row>
    <row r="91">
      <c r="A91" s="52">
        <v>72.0</v>
      </c>
      <c r="B91" s="52" t="s">
        <v>444</v>
      </c>
      <c r="C91" s="52" t="s">
        <v>2005</v>
      </c>
      <c r="D91" s="52">
        <v>1.2129602E7</v>
      </c>
      <c r="E91" s="52" t="s">
        <v>1908</v>
      </c>
      <c r="F91" s="69">
        <v>45673.0</v>
      </c>
      <c r="G91" s="52" t="s">
        <v>446</v>
      </c>
      <c r="H91" s="52" t="s">
        <v>2299</v>
      </c>
      <c r="I91" s="52" t="s">
        <v>2299</v>
      </c>
      <c r="J91" s="52" t="s">
        <v>1478</v>
      </c>
      <c r="K91" s="52" t="s">
        <v>2069</v>
      </c>
      <c r="L91" s="52" t="s">
        <v>2010</v>
      </c>
      <c r="N91" s="52" t="s">
        <v>2010</v>
      </c>
      <c r="O91" s="69">
        <v>45672.0</v>
      </c>
      <c r="P91" s="52">
        <v>2.0251300004053E13</v>
      </c>
      <c r="Q91" s="52" t="s">
        <v>2069</v>
      </c>
      <c r="R91" s="69">
        <v>45673.0</v>
      </c>
      <c r="S91" s="52" t="s">
        <v>2541</v>
      </c>
      <c r="T91" s="52" t="s">
        <v>2013</v>
      </c>
      <c r="U91" s="52" t="s">
        <v>2542</v>
      </c>
      <c r="V91" s="52" t="s">
        <v>581</v>
      </c>
      <c r="W91" s="52" t="s">
        <v>1471</v>
      </c>
      <c r="X91" s="52" t="s">
        <v>583</v>
      </c>
      <c r="Y91" s="52" t="s">
        <v>445</v>
      </c>
      <c r="Z91" s="52" t="s">
        <v>2081</v>
      </c>
      <c r="AA91" s="52" t="s">
        <v>2054</v>
      </c>
      <c r="AB91" s="52" t="s">
        <v>2470</v>
      </c>
      <c r="AC91" s="52" t="s">
        <v>2033</v>
      </c>
      <c r="AD91" s="52" t="s">
        <v>587</v>
      </c>
      <c r="AE91" s="52" t="s">
        <v>2543</v>
      </c>
      <c r="AF91" s="69">
        <v>23531.0</v>
      </c>
      <c r="AG91" s="52">
        <v>61.0</v>
      </c>
      <c r="AH91" s="52" t="s">
        <v>1584</v>
      </c>
      <c r="AI91" s="52" t="s">
        <v>2544</v>
      </c>
      <c r="AJ91" s="52" t="s">
        <v>2545</v>
      </c>
      <c r="AK91" s="52" t="s">
        <v>2022</v>
      </c>
      <c r="AL91" s="52" t="s">
        <v>1628</v>
      </c>
      <c r="AM91" s="52" t="s">
        <v>587</v>
      </c>
      <c r="AN91" s="52" t="s">
        <v>1628</v>
      </c>
      <c r="AO91" s="52" t="s">
        <v>1483</v>
      </c>
      <c r="AP91" s="52">
        <v>5625.0</v>
      </c>
      <c r="AQ91" s="52">
        <v>7625.0</v>
      </c>
      <c r="AR91" s="52" t="s">
        <v>197</v>
      </c>
      <c r="AS91" s="69">
        <v>45675.0</v>
      </c>
      <c r="AT91" s="69">
        <v>45919.0</v>
      </c>
      <c r="AU91" s="69">
        <v>45677.0</v>
      </c>
      <c r="AV91" s="69">
        <v>45919.0</v>
      </c>
      <c r="AW91" s="52" t="s">
        <v>1483</v>
      </c>
      <c r="AX91" s="52" t="s">
        <v>587</v>
      </c>
      <c r="AY91" s="52">
        <v>242.0</v>
      </c>
      <c r="AZ91" s="52" t="s">
        <v>2010</v>
      </c>
      <c r="BA91" s="73" t="s">
        <v>2546</v>
      </c>
    </row>
    <row r="92">
      <c r="B92" s="69">
        <v>45677.0</v>
      </c>
      <c r="C92" s="52" t="s">
        <v>447</v>
      </c>
      <c r="D92" s="52">
        <v>8.0063934E7</v>
      </c>
      <c r="E92" s="52" t="s">
        <v>2547</v>
      </c>
      <c r="F92" s="52" t="s">
        <v>263</v>
      </c>
      <c r="G92" s="52" t="s">
        <v>2041</v>
      </c>
      <c r="H92" s="52" t="s">
        <v>443</v>
      </c>
      <c r="I92" s="52" t="s">
        <v>2027</v>
      </c>
      <c r="K92" s="52" t="s">
        <v>2010</v>
      </c>
    </row>
    <row r="93">
      <c r="A93" s="52">
        <v>73.0</v>
      </c>
      <c r="B93" s="52" t="s">
        <v>1629</v>
      </c>
      <c r="C93" s="52" t="s">
        <v>2005</v>
      </c>
      <c r="D93" s="52">
        <v>4.209482E7</v>
      </c>
      <c r="E93" s="52" t="s">
        <v>1908</v>
      </c>
      <c r="F93" s="69">
        <v>45674.0</v>
      </c>
      <c r="G93" s="52" t="s">
        <v>1630</v>
      </c>
      <c r="H93" s="52" t="s">
        <v>2257</v>
      </c>
      <c r="I93" s="52" t="s">
        <v>2257</v>
      </c>
      <c r="J93" s="52" t="s">
        <v>1478</v>
      </c>
      <c r="K93" s="52" t="s">
        <v>2059</v>
      </c>
      <c r="L93" s="52" t="s">
        <v>2010</v>
      </c>
      <c r="N93" s="52" t="s">
        <v>2010</v>
      </c>
      <c r="O93" s="69">
        <v>45673.0</v>
      </c>
      <c r="P93" s="52">
        <v>2.0251800003943E13</v>
      </c>
      <c r="Q93" s="52" t="s">
        <v>2059</v>
      </c>
      <c r="R93" s="69">
        <v>45673.0</v>
      </c>
      <c r="S93" s="52" t="s">
        <v>2548</v>
      </c>
      <c r="T93" s="52" t="s">
        <v>2013</v>
      </c>
      <c r="U93" s="52" t="s">
        <v>2549</v>
      </c>
      <c r="V93" s="52" t="s">
        <v>581</v>
      </c>
      <c r="W93" s="52" t="s">
        <v>1471</v>
      </c>
      <c r="X93" s="52" t="s">
        <v>583</v>
      </c>
      <c r="Y93" s="52" t="s">
        <v>450</v>
      </c>
      <c r="Z93" s="52" t="s">
        <v>2015</v>
      </c>
      <c r="AA93" s="52" t="s">
        <v>2153</v>
      </c>
      <c r="AB93" s="52" t="s">
        <v>2062</v>
      </c>
      <c r="AC93" s="52" t="s">
        <v>2033</v>
      </c>
      <c r="AD93" s="52" t="s">
        <v>587</v>
      </c>
      <c r="AE93" s="52" t="s">
        <v>2243</v>
      </c>
      <c r="AF93" s="70">
        <v>25557.0</v>
      </c>
      <c r="AG93" s="52">
        <v>56.0</v>
      </c>
      <c r="AH93" s="52" t="s">
        <v>1526</v>
      </c>
      <c r="AI93" s="52" t="s">
        <v>2550</v>
      </c>
      <c r="AJ93" s="52" t="s">
        <v>2551</v>
      </c>
      <c r="AK93" s="52" t="s">
        <v>2022</v>
      </c>
      <c r="AL93" s="52" t="s">
        <v>1631</v>
      </c>
      <c r="AM93" s="52" t="s">
        <v>587</v>
      </c>
      <c r="AN93" s="52" t="s">
        <v>1631</v>
      </c>
      <c r="AO93" s="52" t="s">
        <v>1483</v>
      </c>
      <c r="AP93" s="52">
        <v>10425.0</v>
      </c>
      <c r="AQ93" s="52">
        <v>8825.0</v>
      </c>
      <c r="AR93" s="52" t="s">
        <v>228</v>
      </c>
      <c r="AS93" s="69">
        <v>45680.0</v>
      </c>
      <c r="AT93" s="69">
        <v>45784.0</v>
      </c>
      <c r="AU93" s="69">
        <v>45680.0</v>
      </c>
      <c r="AV93" s="69">
        <v>45784.0</v>
      </c>
      <c r="AW93" s="52" t="s">
        <v>1483</v>
      </c>
      <c r="AX93" s="52" t="s">
        <v>587</v>
      </c>
      <c r="AY93" s="52">
        <v>104.0</v>
      </c>
      <c r="AZ93" s="52" t="s">
        <v>2010</v>
      </c>
      <c r="BA93" s="73" t="s">
        <v>2552</v>
      </c>
    </row>
    <row r="94">
      <c r="B94" s="69">
        <v>45680.0</v>
      </c>
      <c r="C94" s="52" t="s">
        <v>452</v>
      </c>
      <c r="D94" s="52">
        <v>5.2094297E7</v>
      </c>
      <c r="E94" s="52" t="s">
        <v>2553</v>
      </c>
      <c r="F94" s="52" t="s">
        <v>453</v>
      </c>
      <c r="G94" s="52" t="s">
        <v>2041</v>
      </c>
      <c r="H94" s="52" t="s">
        <v>448</v>
      </c>
      <c r="I94" s="52" t="s">
        <v>2027</v>
      </c>
      <c r="K94" s="52" t="s">
        <v>2010</v>
      </c>
    </row>
    <row r="95">
      <c r="A95" s="52">
        <v>74.0</v>
      </c>
      <c r="B95" s="52" t="s">
        <v>1633</v>
      </c>
      <c r="C95" s="52" t="s">
        <v>2005</v>
      </c>
      <c r="D95" s="52">
        <v>1.05377392E9</v>
      </c>
      <c r="E95" s="52" t="s">
        <v>1908</v>
      </c>
      <c r="F95" s="69">
        <v>45674.0</v>
      </c>
      <c r="G95" s="52" t="s">
        <v>1634</v>
      </c>
      <c r="H95" s="52" t="s">
        <v>2257</v>
      </c>
      <c r="I95" s="52" t="s">
        <v>2257</v>
      </c>
      <c r="J95" s="52" t="s">
        <v>1478</v>
      </c>
      <c r="K95" s="52" t="s">
        <v>2059</v>
      </c>
      <c r="L95" s="52" t="s">
        <v>2010</v>
      </c>
      <c r="N95" s="52" t="s">
        <v>2010</v>
      </c>
      <c r="O95" s="69">
        <v>45673.0</v>
      </c>
      <c r="P95" s="52">
        <v>2.0251800003923E13</v>
      </c>
      <c r="Q95" s="52" t="s">
        <v>2059</v>
      </c>
      <c r="R95" s="69">
        <v>45673.0</v>
      </c>
      <c r="S95" s="52" t="s">
        <v>2554</v>
      </c>
      <c r="T95" s="52" t="s">
        <v>2013</v>
      </c>
      <c r="U95" s="52" t="s">
        <v>2555</v>
      </c>
      <c r="V95" s="52" t="s">
        <v>581</v>
      </c>
      <c r="W95" s="52" t="s">
        <v>1471</v>
      </c>
      <c r="X95" s="52" t="s">
        <v>583</v>
      </c>
      <c r="Y95" s="52" t="s">
        <v>456</v>
      </c>
      <c r="Z95" s="52" t="s">
        <v>2015</v>
      </c>
      <c r="AA95" s="52" t="s">
        <v>2016</v>
      </c>
      <c r="AB95" s="52" t="s">
        <v>2032</v>
      </c>
      <c r="AC95" s="52" t="s">
        <v>2033</v>
      </c>
      <c r="AD95" s="52" t="s">
        <v>587</v>
      </c>
      <c r="AE95" s="52" t="s">
        <v>2556</v>
      </c>
      <c r="AF95" s="69">
        <v>31811.0</v>
      </c>
      <c r="AG95" s="52">
        <v>38.0</v>
      </c>
      <c r="AH95" s="52" t="s">
        <v>1526</v>
      </c>
      <c r="AI95" s="52" t="s">
        <v>2557</v>
      </c>
      <c r="AJ95" s="52" t="s">
        <v>2558</v>
      </c>
      <c r="AK95" s="52" t="s">
        <v>2022</v>
      </c>
      <c r="AL95" s="52" t="s">
        <v>1635</v>
      </c>
      <c r="AM95" s="52" t="s">
        <v>587</v>
      </c>
      <c r="AN95" s="52" t="s">
        <v>1635</v>
      </c>
      <c r="AO95" s="52" t="s">
        <v>1483</v>
      </c>
      <c r="AP95" s="52">
        <v>10525.0</v>
      </c>
      <c r="AQ95" s="52">
        <v>8725.0</v>
      </c>
      <c r="AR95" s="52" t="s">
        <v>228</v>
      </c>
      <c r="AS95" s="69">
        <v>45677.0</v>
      </c>
      <c r="AT95" s="69">
        <v>45781.0</v>
      </c>
      <c r="AU95" s="69">
        <v>45677.0</v>
      </c>
      <c r="AV95" s="69">
        <v>45781.0</v>
      </c>
      <c r="AW95" s="52" t="s">
        <v>1483</v>
      </c>
      <c r="AX95" s="52" t="s">
        <v>587</v>
      </c>
      <c r="AY95" s="52">
        <v>104.0</v>
      </c>
      <c r="AZ95" s="52" t="s">
        <v>2010</v>
      </c>
      <c r="BA95" s="73" t="s">
        <v>2559</v>
      </c>
    </row>
    <row r="96">
      <c r="B96" s="69">
        <v>45677.0</v>
      </c>
      <c r="C96" s="52" t="s">
        <v>459</v>
      </c>
      <c r="D96" s="70">
        <v>2.4336453E7</v>
      </c>
      <c r="E96" s="52" t="s">
        <v>2560</v>
      </c>
      <c r="F96" s="52" t="s">
        <v>453</v>
      </c>
      <c r="G96" s="52" t="s">
        <v>1475</v>
      </c>
      <c r="H96" s="52" t="s">
        <v>454</v>
      </c>
      <c r="I96" s="52" t="s">
        <v>2027</v>
      </c>
      <c r="K96" s="52" t="s">
        <v>2010</v>
      </c>
    </row>
    <row r="97">
      <c r="A97" s="52">
        <v>75.0</v>
      </c>
      <c r="B97" s="52" t="s">
        <v>461</v>
      </c>
      <c r="C97" s="52" t="s">
        <v>2005</v>
      </c>
      <c r="D97" s="52">
        <v>9.323712E7</v>
      </c>
      <c r="E97" s="52" t="s">
        <v>1908</v>
      </c>
      <c r="F97" s="69">
        <v>45677.0</v>
      </c>
      <c r="G97" s="52" t="s">
        <v>463</v>
      </c>
      <c r="H97" s="52" t="s">
        <v>2299</v>
      </c>
      <c r="I97" s="52" t="s">
        <v>2299</v>
      </c>
      <c r="J97" s="52" t="s">
        <v>1478</v>
      </c>
      <c r="K97" s="52" t="s">
        <v>2069</v>
      </c>
      <c r="L97" s="52" t="s">
        <v>2010</v>
      </c>
      <c r="N97" s="52" t="s">
        <v>2010</v>
      </c>
      <c r="O97" s="69">
        <v>45673.0</v>
      </c>
      <c r="P97" s="52">
        <v>2.0251300004083E13</v>
      </c>
      <c r="Q97" s="52" t="s">
        <v>2069</v>
      </c>
      <c r="R97" s="69">
        <v>45673.0</v>
      </c>
      <c r="S97" s="52" t="s">
        <v>2561</v>
      </c>
      <c r="T97" s="52" t="s">
        <v>2013</v>
      </c>
      <c r="U97" s="52" t="s">
        <v>2562</v>
      </c>
      <c r="V97" s="52" t="s">
        <v>581</v>
      </c>
      <c r="W97" s="52" t="s">
        <v>1471</v>
      </c>
      <c r="X97" s="52" t="s">
        <v>583</v>
      </c>
      <c r="Y97" s="52" t="s">
        <v>462</v>
      </c>
      <c r="Z97" s="52" t="s">
        <v>2081</v>
      </c>
      <c r="AA97" s="52" t="s">
        <v>2016</v>
      </c>
      <c r="AB97" s="52" t="s">
        <v>2032</v>
      </c>
      <c r="AC97" s="52" t="s">
        <v>2018</v>
      </c>
      <c r="AD97" s="52" t="s">
        <v>587</v>
      </c>
      <c r="AE97" s="52" t="s">
        <v>2317</v>
      </c>
      <c r="AF97" s="70">
        <v>31029.0</v>
      </c>
      <c r="AG97" s="52">
        <v>41.0</v>
      </c>
      <c r="AH97" s="52" t="s">
        <v>1625</v>
      </c>
      <c r="AI97" s="52" t="s">
        <v>2563</v>
      </c>
      <c r="AJ97" s="52" t="s">
        <v>2564</v>
      </c>
      <c r="AK97" s="52" t="s">
        <v>2022</v>
      </c>
      <c r="AL97" s="52" t="s">
        <v>1539</v>
      </c>
      <c r="AM97" s="52" t="s">
        <v>587</v>
      </c>
      <c r="AN97" s="52" t="s">
        <v>1539</v>
      </c>
      <c r="AO97" s="52" t="s">
        <v>1483</v>
      </c>
      <c r="AP97" s="52">
        <v>5325.0</v>
      </c>
      <c r="AQ97" s="52">
        <v>9325.0</v>
      </c>
      <c r="AR97" s="52" t="s">
        <v>62</v>
      </c>
      <c r="AS97" s="69">
        <v>45678.0</v>
      </c>
      <c r="AT97" s="70">
        <v>45981.0</v>
      </c>
      <c r="AU97" s="69">
        <v>45678.0</v>
      </c>
      <c r="AV97" s="70">
        <v>45981.0</v>
      </c>
      <c r="AW97" s="52" t="s">
        <v>1483</v>
      </c>
      <c r="AX97" s="52" t="s">
        <v>587</v>
      </c>
      <c r="AY97" s="52">
        <v>303.0</v>
      </c>
      <c r="AZ97" s="52" t="s">
        <v>2010</v>
      </c>
      <c r="BA97" s="73" t="s">
        <v>2565</v>
      </c>
    </row>
    <row r="98">
      <c r="B98" s="69">
        <v>45678.0</v>
      </c>
      <c r="C98" s="52" t="s">
        <v>447</v>
      </c>
      <c r="D98" s="52">
        <v>8.0063934E7</v>
      </c>
      <c r="E98" s="52" t="s">
        <v>2547</v>
      </c>
      <c r="F98" s="52" t="s">
        <v>263</v>
      </c>
      <c r="G98" s="52" t="s">
        <v>2041</v>
      </c>
      <c r="H98" s="52" t="s">
        <v>460</v>
      </c>
      <c r="I98" s="52" t="s">
        <v>2027</v>
      </c>
      <c r="K98" s="52" t="s">
        <v>2010</v>
      </c>
    </row>
    <row r="99">
      <c r="A99" s="52">
        <v>76.0</v>
      </c>
      <c r="B99" s="52" t="s">
        <v>465</v>
      </c>
      <c r="C99" s="52" t="s">
        <v>2005</v>
      </c>
      <c r="D99" s="52">
        <v>1.015445697E9</v>
      </c>
      <c r="E99" s="52" t="s">
        <v>1908</v>
      </c>
      <c r="F99" s="69">
        <v>45674.0</v>
      </c>
      <c r="G99" s="52" t="s">
        <v>1637</v>
      </c>
      <c r="H99" s="52" t="s">
        <v>2257</v>
      </c>
      <c r="I99" s="52" t="s">
        <v>2257</v>
      </c>
      <c r="J99" s="52" t="s">
        <v>1478</v>
      </c>
      <c r="K99" s="52" t="s">
        <v>2059</v>
      </c>
      <c r="L99" s="52" t="s">
        <v>2010</v>
      </c>
      <c r="N99" s="52" t="s">
        <v>2010</v>
      </c>
      <c r="O99" s="69">
        <v>45673.0</v>
      </c>
      <c r="P99" s="52">
        <v>2.0251800004093E13</v>
      </c>
      <c r="Q99" s="52" t="s">
        <v>2059</v>
      </c>
      <c r="R99" s="69">
        <v>45673.0</v>
      </c>
      <c r="S99" s="52" t="s">
        <v>2566</v>
      </c>
      <c r="T99" s="52" t="s">
        <v>2013</v>
      </c>
      <c r="U99" s="52" t="s">
        <v>2567</v>
      </c>
      <c r="V99" s="52" t="s">
        <v>581</v>
      </c>
      <c r="W99" s="52" t="s">
        <v>1471</v>
      </c>
      <c r="X99" s="52" t="s">
        <v>583</v>
      </c>
      <c r="Y99" s="52" t="s">
        <v>466</v>
      </c>
      <c r="Z99" s="52" t="s">
        <v>2081</v>
      </c>
      <c r="AA99" s="52" t="s">
        <v>2054</v>
      </c>
      <c r="AB99" s="52" t="s">
        <v>2062</v>
      </c>
      <c r="AC99" s="52" t="s">
        <v>2033</v>
      </c>
      <c r="AD99" s="52" t="s">
        <v>587</v>
      </c>
      <c r="AE99" s="52" t="s">
        <v>2338</v>
      </c>
      <c r="AF99" s="69">
        <v>34451.0</v>
      </c>
      <c r="AG99" s="52">
        <v>31.0</v>
      </c>
      <c r="AH99" s="52" t="s">
        <v>1526</v>
      </c>
      <c r="AI99" s="52" t="s">
        <v>2568</v>
      </c>
      <c r="AJ99" s="52" t="s">
        <v>2569</v>
      </c>
      <c r="AK99" s="52" t="s">
        <v>2022</v>
      </c>
      <c r="AL99" s="52" t="s">
        <v>1635</v>
      </c>
      <c r="AM99" s="52" t="s">
        <v>587</v>
      </c>
      <c r="AN99" s="52" t="s">
        <v>1635</v>
      </c>
      <c r="AO99" s="52" t="s">
        <v>1483</v>
      </c>
      <c r="AP99" s="52">
        <v>10725.0</v>
      </c>
      <c r="AQ99" s="52">
        <v>8325.0</v>
      </c>
      <c r="AR99" s="52" t="s">
        <v>228</v>
      </c>
      <c r="AS99" s="69">
        <v>45675.0</v>
      </c>
      <c r="AT99" s="69">
        <v>45781.0</v>
      </c>
      <c r="AU99" s="69">
        <v>45677.0</v>
      </c>
      <c r="AV99" s="69">
        <v>45781.0</v>
      </c>
      <c r="AW99" s="52" t="s">
        <v>1483</v>
      </c>
      <c r="AX99" s="52" t="s">
        <v>587</v>
      </c>
      <c r="AY99" s="52">
        <v>104.0</v>
      </c>
      <c r="AZ99" s="52" t="s">
        <v>2010</v>
      </c>
      <c r="BA99" s="73" t="s">
        <v>2570</v>
      </c>
    </row>
    <row r="100">
      <c r="B100" s="69">
        <v>45677.0</v>
      </c>
      <c r="C100" s="52" t="s">
        <v>468</v>
      </c>
      <c r="D100" s="52">
        <v>7.4322881E7</v>
      </c>
      <c r="E100" s="52" t="s">
        <v>2571</v>
      </c>
      <c r="F100" s="52" t="s">
        <v>453</v>
      </c>
      <c r="G100" s="52" t="s">
        <v>2041</v>
      </c>
      <c r="H100" s="52" t="s">
        <v>464</v>
      </c>
      <c r="I100" s="52" t="s">
        <v>2027</v>
      </c>
      <c r="K100" s="52" t="s">
        <v>2010</v>
      </c>
    </row>
    <row r="101">
      <c r="A101" s="52">
        <v>77.0</v>
      </c>
      <c r="B101" s="52" t="s">
        <v>470</v>
      </c>
      <c r="C101" s="52" t="s">
        <v>2005</v>
      </c>
      <c r="D101" s="52">
        <v>3.9683177E7</v>
      </c>
      <c r="E101" s="52" t="s">
        <v>1908</v>
      </c>
      <c r="F101" s="69">
        <v>45674.0</v>
      </c>
      <c r="G101" s="52" t="s">
        <v>1638</v>
      </c>
      <c r="H101" s="52" t="s">
        <v>1639</v>
      </c>
      <c r="I101" s="52" t="s">
        <v>1640</v>
      </c>
      <c r="J101" s="52" t="s">
        <v>1478</v>
      </c>
      <c r="K101" s="52" t="s">
        <v>2029</v>
      </c>
      <c r="L101" s="52" t="s">
        <v>2010</v>
      </c>
      <c r="N101" s="52" t="s">
        <v>2010</v>
      </c>
      <c r="O101" s="69">
        <v>45673.0</v>
      </c>
      <c r="P101" s="52">
        <v>2.0251000004103E13</v>
      </c>
      <c r="Q101" s="52" t="s">
        <v>2029</v>
      </c>
      <c r="R101" s="69">
        <v>45673.0</v>
      </c>
      <c r="S101" s="52" t="s">
        <v>2572</v>
      </c>
      <c r="T101" s="52" t="s">
        <v>2013</v>
      </c>
      <c r="U101" s="52" t="s">
        <v>2573</v>
      </c>
      <c r="V101" s="52" t="s">
        <v>581</v>
      </c>
      <c r="W101" s="52" t="s">
        <v>1471</v>
      </c>
      <c r="X101" s="52" t="s">
        <v>583</v>
      </c>
      <c r="Y101" s="52" t="s">
        <v>471</v>
      </c>
      <c r="Z101" s="52" t="s">
        <v>2015</v>
      </c>
      <c r="AA101" s="52" t="s">
        <v>2016</v>
      </c>
      <c r="AB101" s="52" t="s">
        <v>2062</v>
      </c>
      <c r="AC101" s="52" t="s">
        <v>2018</v>
      </c>
      <c r="AD101" s="52" t="s">
        <v>587</v>
      </c>
      <c r="AE101" s="52" t="s">
        <v>2574</v>
      </c>
      <c r="AF101" s="70">
        <v>22645.0</v>
      </c>
      <c r="AG101" s="52">
        <v>64.0</v>
      </c>
      <c r="AH101" s="52" t="s">
        <v>1641</v>
      </c>
      <c r="AI101" s="52" t="s">
        <v>2575</v>
      </c>
      <c r="AJ101" s="52" t="s">
        <v>2576</v>
      </c>
      <c r="AK101" s="52" t="s">
        <v>2022</v>
      </c>
      <c r="AL101" s="52" t="s">
        <v>1642</v>
      </c>
      <c r="AM101" s="52" t="s">
        <v>587</v>
      </c>
      <c r="AN101" s="52" t="s">
        <v>1642</v>
      </c>
      <c r="AO101" s="52" t="s">
        <v>1483</v>
      </c>
      <c r="AP101" s="52">
        <v>9925.0</v>
      </c>
      <c r="AQ101" s="52">
        <v>8525.0</v>
      </c>
      <c r="AR101" s="52" t="s">
        <v>1643</v>
      </c>
      <c r="AS101" s="69">
        <v>45677.0</v>
      </c>
      <c r="AT101" s="70">
        <v>46022.0</v>
      </c>
      <c r="AU101" s="69">
        <v>45677.0</v>
      </c>
      <c r="AV101" s="70">
        <v>46022.0</v>
      </c>
      <c r="AW101" s="52" t="s">
        <v>1483</v>
      </c>
      <c r="AX101" s="52" t="s">
        <v>587</v>
      </c>
      <c r="AY101" s="52">
        <v>345.0</v>
      </c>
      <c r="AZ101" s="52" t="s">
        <v>2010</v>
      </c>
      <c r="BA101" s="73" t="s">
        <v>2577</v>
      </c>
      <c r="BB101" s="69">
        <v>45677.0</v>
      </c>
      <c r="BC101" s="52" t="s">
        <v>474</v>
      </c>
      <c r="BD101" s="52">
        <v>7.9332E7</v>
      </c>
      <c r="BE101" s="52" t="s">
        <v>2578</v>
      </c>
      <c r="BF101" s="52" t="s">
        <v>475</v>
      </c>
      <c r="BG101" s="52" t="s">
        <v>2041</v>
      </c>
      <c r="BH101" s="52" t="s">
        <v>469</v>
      </c>
      <c r="BI101" s="52" t="s">
        <v>2027</v>
      </c>
      <c r="BK101" s="52" t="s">
        <v>2010</v>
      </c>
    </row>
    <row r="102">
      <c r="A102" s="52">
        <v>78.0</v>
      </c>
      <c r="B102" s="52" t="s">
        <v>477</v>
      </c>
      <c r="C102" s="52" t="s">
        <v>2005</v>
      </c>
      <c r="D102" s="52">
        <v>9528037.0</v>
      </c>
      <c r="E102" s="52" t="s">
        <v>1908</v>
      </c>
      <c r="F102" s="69">
        <v>45674.0</v>
      </c>
      <c r="G102" s="52" t="s">
        <v>1644</v>
      </c>
      <c r="H102" s="52" t="s">
        <v>2257</v>
      </c>
      <c r="I102" s="52" t="s">
        <v>2257</v>
      </c>
      <c r="J102" s="52" t="s">
        <v>1478</v>
      </c>
      <c r="K102" s="52" t="s">
        <v>2059</v>
      </c>
      <c r="L102" s="52" t="s">
        <v>2010</v>
      </c>
      <c r="N102" s="52" t="s">
        <v>2010</v>
      </c>
      <c r="O102" s="69">
        <v>45673.0</v>
      </c>
      <c r="P102" s="52">
        <v>2.0251800003933E13</v>
      </c>
      <c r="Q102" s="52" t="s">
        <v>2059</v>
      </c>
      <c r="R102" s="69">
        <v>45673.0</v>
      </c>
      <c r="S102" s="52" t="s">
        <v>2579</v>
      </c>
      <c r="T102" s="52" t="s">
        <v>2013</v>
      </c>
      <c r="U102" s="52" t="s">
        <v>2580</v>
      </c>
      <c r="V102" s="52" t="s">
        <v>581</v>
      </c>
      <c r="W102" s="52" t="s">
        <v>1471</v>
      </c>
      <c r="X102" s="52" t="s">
        <v>583</v>
      </c>
      <c r="Y102" s="52" t="s">
        <v>478</v>
      </c>
      <c r="Z102" s="52" t="s">
        <v>2081</v>
      </c>
      <c r="AA102" s="52" t="s">
        <v>2016</v>
      </c>
      <c r="AB102" s="52" t="s">
        <v>2062</v>
      </c>
      <c r="AC102" s="52" t="s">
        <v>2063</v>
      </c>
      <c r="AD102" s="52" t="s">
        <v>587</v>
      </c>
      <c r="AE102" s="52" t="s">
        <v>2581</v>
      </c>
      <c r="AF102" s="69">
        <v>23574.0</v>
      </c>
      <c r="AG102" s="52">
        <v>61.0</v>
      </c>
      <c r="AH102" s="52" t="s">
        <v>1526</v>
      </c>
      <c r="AI102" s="52" t="s">
        <v>2582</v>
      </c>
      <c r="AJ102" s="52" t="s">
        <v>2583</v>
      </c>
      <c r="AK102" s="52" t="s">
        <v>2022</v>
      </c>
      <c r="AL102" s="52" t="s">
        <v>1645</v>
      </c>
      <c r="AM102" s="52" t="s">
        <v>587</v>
      </c>
      <c r="AN102" s="52" t="s">
        <v>1645</v>
      </c>
      <c r="AO102" s="52" t="s">
        <v>1483</v>
      </c>
      <c r="AP102" s="52">
        <v>10325.0</v>
      </c>
      <c r="AQ102" s="52">
        <v>8625.0</v>
      </c>
      <c r="AR102" s="52" t="s">
        <v>228</v>
      </c>
      <c r="AS102" s="69">
        <v>45677.0</v>
      </c>
      <c r="AT102" s="69">
        <v>45781.0</v>
      </c>
      <c r="AU102" s="69">
        <v>45677.0</v>
      </c>
      <c r="AV102" s="69">
        <v>45781.0</v>
      </c>
      <c r="AW102" s="52" t="s">
        <v>1483</v>
      </c>
      <c r="AX102" s="52" t="s">
        <v>587</v>
      </c>
      <c r="AY102" s="52">
        <v>104.0</v>
      </c>
      <c r="AZ102" s="52" t="s">
        <v>2010</v>
      </c>
      <c r="BA102" s="73" t="s">
        <v>2584</v>
      </c>
      <c r="BB102" s="69">
        <v>45677.0</v>
      </c>
      <c r="BC102" s="52" t="s">
        <v>468</v>
      </c>
      <c r="BD102" s="52">
        <v>7.4322881E7</v>
      </c>
      <c r="BE102" s="52" t="s">
        <v>2571</v>
      </c>
      <c r="BF102" s="52" t="s">
        <v>453</v>
      </c>
      <c r="BG102" s="52" t="s">
        <v>2041</v>
      </c>
      <c r="BH102" s="52" t="s">
        <v>476</v>
      </c>
      <c r="BI102" s="52" t="s">
        <v>2027</v>
      </c>
      <c r="BK102" s="52" t="s">
        <v>2010</v>
      </c>
    </row>
    <row r="103">
      <c r="A103" s="52">
        <v>79.0</v>
      </c>
      <c r="B103" s="52" t="s">
        <v>1647</v>
      </c>
      <c r="C103" s="52" t="s">
        <v>2005</v>
      </c>
      <c r="D103" s="52">
        <v>5.2811892E7</v>
      </c>
      <c r="E103" s="52" t="s">
        <v>1908</v>
      </c>
      <c r="F103" s="69">
        <v>45674.0</v>
      </c>
      <c r="G103" s="52" t="s">
        <v>483</v>
      </c>
      <c r="H103" s="52" t="s">
        <v>1639</v>
      </c>
      <c r="I103" s="52" t="s">
        <v>1640</v>
      </c>
      <c r="J103" s="52" t="s">
        <v>1478</v>
      </c>
      <c r="K103" s="52" t="s">
        <v>2029</v>
      </c>
      <c r="L103" s="52" t="s">
        <v>2010</v>
      </c>
      <c r="N103" s="52" t="s">
        <v>2010</v>
      </c>
      <c r="O103" s="69">
        <v>45673.0</v>
      </c>
      <c r="P103" s="52">
        <v>2.0251000004233E13</v>
      </c>
      <c r="Q103" s="52" t="s">
        <v>2029</v>
      </c>
      <c r="R103" s="69">
        <v>45673.0</v>
      </c>
      <c r="S103" s="52" t="s">
        <v>2585</v>
      </c>
      <c r="T103" s="52" t="s">
        <v>2013</v>
      </c>
      <c r="U103" s="52" t="s">
        <v>2586</v>
      </c>
      <c r="V103" s="52" t="s">
        <v>581</v>
      </c>
      <c r="W103" s="52" t="s">
        <v>1471</v>
      </c>
      <c r="X103" s="52" t="s">
        <v>583</v>
      </c>
      <c r="Y103" s="52" t="s">
        <v>482</v>
      </c>
      <c r="Z103" s="52" t="s">
        <v>2015</v>
      </c>
      <c r="AA103" s="52" t="s">
        <v>2016</v>
      </c>
      <c r="AB103" s="52" t="s">
        <v>2032</v>
      </c>
      <c r="AC103" s="52" t="s">
        <v>2054</v>
      </c>
      <c r="AD103" s="52" t="s">
        <v>587</v>
      </c>
      <c r="AE103" s="52" t="s">
        <v>2338</v>
      </c>
      <c r="AF103" s="69">
        <v>30117.0</v>
      </c>
      <c r="AG103" s="52">
        <v>43.0</v>
      </c>
      <c r="AH103" s="52" t="s">
        <v>1479</v>
      </c>
      <c r="AI103" s="52" t="s">
        <v>2587</v>
      </c>
      <c r="AJ103" s="52" t="s">
        <v>2588</v>
      </c>
      <c r="AK103" s="52" t="s">
        <v>2022</v>
      </c>
      <c r="AL103" s="52" t="s">
        <v>1642</v>
      </c>
      <c r="AM103" s="52" t="s">
        <v>587</v>
      </c>
      <c r="AN103" s="52" t="s">
        <v>1642</v>
      </c>
      <c r="AO103" s="52" t="s">
        <v>1483</v>
      </c>
      <c r="AP103" s="52">
        <v>9825.0</v>
      </c>
      <c r="AQ103" s="52">
        <v>8925.0</v>
      </c>
      <c r="AR103" s="52" t="s">
        <v>1648</v>
      </c>
      <c r="AS103" s="69">
        <v>45677.0</v>
      </c>
      <c r="AT103" s="70">
        <v>46022.0</v>
      </c>
      <c r="AU103" s="69">
        <v>45677.0</v>
      </c>
      <c r="AV103" s="70">
        <v>46022.0</v>
      </c>
      <c r="AW103" s="52" t="s">
        <v>1483</v>
      </c>
      <c r="AX103" s="52" t="s">
        <v>587</v>
      </c>
      <c r="AY103" s="52">
        <v>345.0</v>
      </c>
      <c r="AZ103" s="52" t="s">
        <v>2010</v>
      </c>
      <c r="BA103" s="73" t="s">
        <v>2589</v>
      </c>
      <c r="BB103" s="69">
        <v>45677.0</v>
      </c>
      <c r="BC103" s="52" t="s">
        <v>474</v>
      </c>
      <c r="BD103" s="52">
        <v>7.9332E7</v>
      </c>
      <c r="BE103" s="52" t="s">
        <v>2578</v>
      </c>
      <c r="BF103" s="52" t="s">
        <v>475</v>
      </c>
      <c r="BG103" s="52" t="s">
        <v>2041</v>
      </c>
      <c r="BH103" s="52" t="s">
        <v>480</v>
      </c>
      <c r="BI103" s="52" t="s">
        <v>2027</v>
      </c>
      <c r="BK103" s="52" t="s">
        <v>2010</v>
      </c>
    </row>
    <row r="104">
      <c r="A104" s="52">
        <v>80.0</v>
      </c>
      <c r="B104" s="52" t="s">
        <v>645</v>
      </c>
      <c r="C104" s="52" t="s">
        <v>2307</v>
      </c>
      <c r="D104" s="52">
        <v>9.012449855E9</v>
      </c>
      <c r="E104" s="52" t="s">
        <v>2590</v>
      </c>
      <c r="F104" s="69">
        <v>45679.0</v>
      </c>
      <c r="G104" s="52" t="s">
        <v>647</v>
      </c>
      <c r="H104" s="52" t="s">
        <v>2028</v>
      </c>
      <c r="I104" s="52" t="s">
        <v>2028</v>
      </c>
      <c r="J104" s="52" t="s">
        <v>1470</v>
      </c>
      <c r="K104" s="52" t="s">
        <v>2029</v>
      </c>
      <c r="L104" s="52" t="s">
        <v>2010</v>
      </c>
      <c r="N104" s="52" t="s">
        <v>1908</v>
      </c>
      <c r="O104" s="69">
        <v>45673.0</v>
      </c>
      <c r="P104" s="52" t="s">
        <v>2591</v>
      </c>
      <c r="Q104" s="52" t="s">
        <v>2029</v>
      </c>
      <c r="R104" s="69">
        <v>45673.0</v>
      </c>
      <c r="S104" s="52" t="s">
        <v>2592</v>
      </c>
      <c r="T104" s="52" t="s">
        <v>2013</v>
      </c>
      <c r="U104" s="52" t="s">
        <v>2593</v>
      </c>
      <c r="V104" s="52" t="s">
        <v>581</v>
      </c>
      <c r="W104" s="52" t="s">
        <v>1555</v>
      </c>
      <c r="X104" s="52" t="s">
        <v>583</v>
      </c>
      <c r="Y104" s="52" t="s">
        <v>1649</v>
      </c>
      <c r="AA104" s="52" t="s">
        <v>39</v>
      </c>
      <c r="AB104" s="52" t="s">
        <v>39</v>
      </c>
      <c r="AC104" s="52" t="s">
        <v>39</v>
      </c>
      <c r="AD104" s="69">
        <v>45687.0</v>
      </c>
      <c r="AE104" s="52" t="s">
        <v>39</v>
      </c>
      <c r="AF104" s="52" t="s">
        <v>39</v>
      </c>
      <c r="AG104" s="52" t="s">
        <v>2310</v>
      </c>
      <c r="AH104" s="52" t="s">
        <v>39</v>
      </c>
      <c r="AI104" s="52" t="s">
        <v>39</v>
      </c>
      <c r="AJ104" s="52" t="s">
        <v>2594</v>
      </c>
      <c r="AK104" s="52" t="s">
        <v>2022</v>
      </c>
      <c r="AL104" s="52" t="s">
        <v>1650</v>
      </c>
      <c r="AM104" s="52" t="s">
        <v>587</v>
      </c>
      <c r="AN104" s="52" t="s">
        <v>1650</v>
      </c>
      <c r="AO104" s="52" t="s">
        <v>1483</v>
      </c>
      <c r="AP104" s="52">
        <v>9025.0</v>
      </c>
      <c r="AQ104" s="52">
        <v>11325.0</v>
      </c>
      <c r="AR104" s="52" t="s">
        <v>648</v>
      </c>
      <c r="AS104" s="52" t="s">
        <v>1879</v>
      </c>
      <c r="AT104" s="52" t="s">
        <v>1879</v>
      </c>
      <c r="AU104" s="69">
        <v>45688.0</v>
      </c>
      <c r="AV104" s="70">
        <v>46020.0</v>
      </c>
      <c r="AW104" s="52" t="s">
        <v>1483</v>
      </c>
      <c r="AX104" s="69">
        <v>46203.0</v>
      </c>
      <c r="AY104" s="52">
        <v>332.0</v>
      </c>
      <c r="AZ104" s="52" t="s">
        <v>1879</v>
      </c>
      <c r="BA104" s="73" t="s">
        <v>2595</v>
      </c>
      <c r="BB104" s="69">
        <v>45688.0</v>
      </c>
      <c r="BC104" s="52" t="s">
        <v>2596</v>
      </c>
      <c r="BD104" s="52">
        <v>1.016021751E9</v>
      </c>
      <c r="BE104" s="52" t="s">
        <v>2597</v>
      </c>
      <c r="BF104" s="52" t="s">
        <v>848</v>
      </c>
      <c r="BG104" s="52" t="s">
        <v>2041</v>
      </c>
      <c r="BH104" s="52" t="s">
        <v>2598</v>
      </c>
      <c r="BI104" s="52" t="s">
        <v>2027</v>
      </c>
      <c r="BK104" s="52" t="s">
        <v>2010</v>
      </c>
    </row>
    <row r="105">
      <c r="A105" s="52">
        <v>81.0</v>
      </c>
      <c r="B105" s="52" t="s">
        <v>1651</v>
      </c>
      <c r="C105" s="52" t="s">
        <v>2005</v>
      </c>
      <c r="D105" s="52">
        <v>7.4130577E7</v>
      </c>
      <c r="E105" s="52" t="s">
        <v>1908</v>
      </c>
      <c r="F105" s="69">
        <v>45677.0</v>
      </c>
      <c r="G105" s="52" t="s">
        <v>488</v>
      </c>
      <c r="H105" s="52" t="s">
        <v>2257</v>
      </c>
      <c r="I105" s="52" t="s">
        <v>2257</v>
      </c>
      <c r="J105" s="52" t="s">
        <v>1478</v>
      </c>
      <c r="K105" s="52" t="s">
        <v>2059</v>
      </c>
      <c r="L105" s="52" t="s">
        <v>2010</v>
      </c>
      <c r="N105" s="52" t="s">
        <v>2010</v>
      </c>
      <c r="O105" s="69">
        <v>45673.0</v>
      </c>
      <c r="P105" s="52">
        <v>2.0251800004323E13</v>
      </c>
      <c r="Q105" s="52" t="s">
        <v>2059</v>
      </c>
      <c r="R105" s="69">
        <v>45673.0</v>
      </c>
      <c r="S105" s="52" t="s">
        <v>2599</v>
      </c>
      <c r="T105" s="52" t="s">
        <v>2013</v>
      </c>
      <c r="U105" s="52" t="s">
        <v>2600</v>
      </c>
      <c r="V105" s="52" t="s">
        <v>581</v>
      </c>
      <c r="W105" s="52" t="s">
        <v>1471</v>
      </c>
      <c r="X105" s="52" t="s">
        <v>583</v>
      </c>
      <c r="Y105" s="52" t="s">
        <v>487</v>
      </c>
      <c r="Z105" s="52" t="s">
        <v>2081</v>
      </c>
      <c r="AA105" s="52" t="s">
        <v>2016</v>
      </c>
      <c r="AB105" s="52" t="s">
        <v>2062</v>
      </c>
      <c r="AC105" s="52" t="s">
        <v>2033</v>
      </c>
      <c r="AD105" s="52" t="s">
        <v>587</v>
      </c>
      <c r="AE105" s="52" t="s">
        <v>2601</v>
      </c>
      <c r="AF105" s="69">
        <v>30130.0</v>
      </c>
      <c r="AG105" s="52">
        <v>43.0</v>
      </c>
      <c r="AH105" s="52" t="s">
        <v>1526</v>
      </c>
      <c r="AI105" s="52" t="s">
        <v>2602</v>
      </c>
      <c r="AJ105" s="52" t="s">
        <v>2603</v>
      </c>
      <c r="AK105" s="52" t="s">
        <v>2022</v>
      </c>
      <c r="AL105" s="52" t="s">
        <v>1652</v>
      </c>
      <c r="AM105" s="52" t="s">
        <v>1653</v>
      </c>
      <c r="AN105" s="52" t="s">
        <v>1542</v>
      </c>
      <c r="AO105" s="52" t="s">
        <v>1483</v>
      </c>
      <c r="AP105" s="52">
        <v>6725.0</v>
      </c>
      <c r="AQ105" s="52">
        <v>9525.0</v>
      </c>
      <c r="AR105" s="52" t="s">
        <v>228</v>
      </c>
      <c r="AS105" s="69">
        <v>45678.0</v>
      </c>
      <c r="AT105" s="70">
        <v>46022.0</v>
      </c>
      <c r="AU105" s="69">
        <v>45678.0</v>
      </c>
      <c r="AV105" s="70">
        <v>46022.0</v>
      </c>
      <c r="AW105" s="52" t="s">
        <v>1483</v>
      </c>
      <c r="AX105" s="52" t="s">
        <v>587</v>
      </c>
      <c r="AY105" s="52">
        <v>344.0</v>
      </c>
      <c r="AZ105" s="52" t="s">
        <v>2010</v>
      </c>
      <c r="BA105" s="73" t="s">
        <v>2604</v>
      </c>
      <c r="BB105" s="69">
        <v>45678.0</v>
      </c>
      <c r="BC105" s="52" t="s">
        <v>489</v>
      </c>
      <c r="BD105" s="70">
        <v>1.6079421E7</v>
      </c>
      <c r="BE105" s="52" t="s">
        <v>2605</v>
      </c>
      <c r="BF105" s="52" t="s">
        <v>453</v>
      </c>
      <c r="BG105" s="52" t="s">
        <v>2041</v>
      </c>
      <c r="BH105" s="52" t="s">
        <v>485</v>
      </c>
      <c r="BI105" s="52" t="s">
        <v>2027</v>
      </c>
      <c r="BK105" s="52" t="s">
        <v>2010</v>
      </c>
    </row>
    <row r="106">
      <c r="A106" s="52">
        <v>82.0</v>
      </c>
      <c r="B106" s="52" t="s">
        <v>492</v>
      </c>
      <c r="C106" s="52" t="s">
        <v>2307</v>
      </c>
      <c r="D106" s="52" t="s">
        <v>2606</v>
      </c>
      <c r="E106" s="52" t="s">
        <v>1908</v>
      </c>
      <c r="F106" s="69">
        <v>45674.0</v>
      </c>
      <c r="G106" s="52" t="s">
        <v>494</v>
      </c>
      <c r="H106" s="52" t="s">
        <v>2028</v>
      </c>
      <c r="I106" s="52" t="s">
        <v>2028</v>
      </c>
      <c r="J106" s="52" t="s">
        <v>1470</v>
      </c>
      <c r="K106" s="52" t="s">
        <v>2029</v>
      </c>
      <c r="L106" s="52" t="s">
        <v>2010</v>
      </c>
      <c r="N106" s="52" t="s">
        <v>1908</v>
      </c>
      <c r="O106" s="69">
        <v>45674.0</v>
      </c>
      <c r="P106" s="52">
        <v>2.0251130004423E13</v>
      </c>
      <c r="Q106" s="52" t="s">
        <v>2029</v>
      </c>
      <c r="R106" s="69">
        <v>45674.0</v>
      </c>
      <c r="S106" s="52" t="s">
        <v>2607</v>
      </c>
      <c r="T106" s="52" t="s">
        <v>2013</v>
      </c>
      <c r="U106" s="52" t="s">
        <v>2608</v>
      </c>
      <c r="V106" s="52" t="s">
        <v>581</v>
      </c>
      <c r="W106" s="52" t="s">
        <v>1555</v>
      </c>
      <c r="X106" s="52" t="s">
        <v>583</v>
      </c>
      <c r="Y106" s="52" t="s">
        <v>1654</v>
      </c>
      <c r="AA106" s="52" t="s">
        <v>39</v>
      </c>
      <c r="AB106" s="52" t="s">
        <v>39</v>
      </c>
      <c r="AC106" s="52" t="s">
        <v>39</v>
      </c>
      <c r="AD106" s="69">
        <v>45681.0</v>
      </c>
      <c r="AE106" s="52" t="s">
        <v>39</v>
      </c>
      <c r="AF106" s="52" t="s">
        <v>39</v>
      </c>
      <c r="AG106" s="52" t="s">
        <v>2310</v>
      </c>
      <c r="AH106" s="52" t="s">
        <v>39</v>
      </c>
      <c r="AI106" s="52" t="s">
        <v>39</v>
      </c>
      <c r="AJ106" s="52" t="s">
        <v>2609</v>
      </c>
      <c r="AK106" s="52" t="s">
        <v>2022</v>
      </c>
      <c r="AL106" s="52">
        <v>1.7292512E7</v>
      </c>
      <c r="AM106" s="52" t="s">
        <v>587</v>
      </c>
      <c r="AN106" s="52">
        <v>1.7292512E7</v>
      </c>
      <c r="AO106" s="52" t="s">
        <v>1483</v>
      </c>
      <c r="AQ106" s="52">
        <v>9025.0</v>
      </c>
      <c r="AR106" s="52" t="s">
        <v>495</v>
      </c>
      <c r="AS106" s="52" t="s">
        <v>1879</v>
      </c>
      <c r="AT106" s="52" t="s">
        <v>1879</v>
      </c>
      <c r="AU106" s="69">
        <v>45684.0</v>
      </c>
      <c r="AV106" s="70">
        <v>45987.0</v>
      </c>
      <c r="AW106" s="52" t="s">
        <v>1483</v>
      </c>
      <c r="AX106" s="52" t="s">
        <v>587</v>
      </c>
      <c r="AY106" s="52">
        <v>303.0</v>
      </c>
      <c r="AZ106" s="52" t="s">
        <v>1879</v>
      </c>
      <c r="BA106" s="73" t="s">
        <v>2610</v>
      </c>
      <c r="BB106" s="69">
        <v>45684.0</v>
      </c>
      <c r="BG106" s="52" t="s">
        <v>2041</v>
      </c>
      <c r="BH106" s="52" t="s">
        <v>490</v>
      </c>
      <c r="BI106" s="52" t="s">
        <v>2027</v>
      </c>
      <c r="BK106" s="52" t="s">
        <v>2010</v>
      </c>
    </row>
    <row r="107">
      <c r="A107" s="52">
        <v>83.0</v>
      </c>
      <c r="B107" s="52" t="s">
        <v>1655</v>
      </c>
      <c r="C107" s="52" t="s">
        <v>2005</v>
      </c>
      <c r="D107" s="52">
        <v>5.2734728E7</v>
      </c>
      <c r="E107" s="52" t="s">
        <v>1908</v>
      </c>
      <c r="F107" s="69">
        <v>45674.0</v>
      </c>
      <c r="G107" s="52" t="s">
        <v>1656</v>
      </c>
      <c r="H107" s="52" t="s">
        <v>2611</v>
      </c>
      <c r="I107" s="52" t="s">
        <v>2042</v>
      </c>
      <c r="J107" s="52" t="s">
        <v>1478</v>
      </c>
      <c r="K107" s="52" t="s">
        <v>2612</v>
      </c>
      <c r="L107" s="52" t="s">
        <v>2010</v>
      </c>
      <c r="N107" s="52" t="s">
        <v>2010</v>
      </c>
      <c r="O107" s="69">
        <v>45674.0</v>
      </c>
      <c r="P107" s="52">
        <v>2.0251020004443E13</v>
      </c>
      <c r="Q107" s="52" t="s">
        <v>2612</v>
      </c>
      <c r="R107" s="69">
        <v>45674.0</v>
      </c>
      <c r="S107" s="52" t="s">
        <v>2613</v>
      </c>
      <c r="T107" s="52" t="s">
        <v>2013</v>
      </c>
      <c r="U107" s="52" t="s">
        <v>2614</v>
      </c>
      <c r="V107" s="52" t="s">
        <v>581</v>
      </c>
      <c r="W107" s="52" t="s">
        <v>1471</v>
      </c>
      <c r="X107" s="52" t="s">
        <v>781</v>
      </c>
      <c r="Y107" s="52" t="s">
        <v>498</v>
      </c>
      <c r="Z107" s="52" t="s">
        <v>2015</v>
      </c>
      <c r="AA107" s="52" t="s">
        <v>2016</v>
      </c>
      <c r="AB107" s="52" t="s">
        <v>2062</v>
      </c>
      <c r="AC107" s="52" t="s">
        <v>2114</v>
      </c>
      <c r="AD107" s="52" t="s">
        <v>587</v>
      </c>
      <c r="AE107" s="52" t="s">
        <v>2338</v>
      </c>
      <c r="AF107" s="70">
        <v>30604.0</v>
      </c>
      <c r="AG107" s="52">
        <v>42.0</v>
      </c>
      <c r="AH107" s="52" t="s">
        <v>1657</v>
      </c>
      <c r="AI107" s="52" t="s">
        <v>2615</v>
      </c>
      <c r="AJ107" s="52" t="s">
        <v>2616</v>
      </c>
      <c r="AK107" s="52" t="s">
        <v>2022</v>
      </c>
      <c r="AL107" s="52" t="s">
        <v>1658</v>
      </c>
      <c r="AM107" s="52" t="s">
        <v>587</v>
      </c>
      <c r="AN107" s="52" t="s">
        <v>1658</v>
      </c>
      <c r="AO107" s="52" t="s">
        <v>1483</v>
      </c>
      <c r="AP107" s="52">
        <v>11325.0</v>
      </c>
      <c r="AQ107" s="52">
        <v>9225.0</v>
      </c>
      <c r="AR107" s="52" t="s">
        <v>53</v>
      </c>
      <c r="AS107" s="69">
        <v>45678.0</v>
      </c>
      <c r="AT107" s="70">
        <v>46011.0</v>
      </c>
      <c r="AU107" s="69">
        <v>45678.0</v>
      </c>
      <c r="AV107" s="70">
        <v>46011.0</v>
      </c>
      <c r="AW107" s="52" t="s">
        <v>1483</v>
      </c>
      <c r="AX107" s="52" t="s">
        <v>587</v>
      </c>
      <c r="AY107" s="52">
        <v>333.0</v>
      </c>
      <c r="AZ107" s="52" t="s">
        <v>2010</v>
      </c>
      <c r="BA107" s="73" t="s">
        <v>2617</v>
      </c>
      <c r="BB107" s="69">
        <v>45678.0</v>
      </c>
      <c r="BC107" s="52" t="s">
        <v>500</v>
      </c>
      <c r="BD107" s="52">
        <v>7.9589657E7</v>
      </c>
      <c r="BE107" s="52" t="s">
        <v>2618</v>
      </c>
      <c r="BF107" s="52" t="s">
        <v>258</v>
      </c>
      <c r="BG107" s="52" t="s">
        <v>2041</v>
      </c>
      <c r="BH107" s="52" t="s">
        <v>2619</v>
      </c>
      <c r="BI107" s="52" t="s">
        <v>2027</v>
      </c>
      <c r="BK107" s="52" t="s">
        <v>2010</v>
      </c>
    </row>
    <row r="108">
      <c r="A108" s="52">
        <v>84.0</v>
      </c>
      <c r="B108" s="52" t="s">
        <v>502</v>
      </c>
      <c r="C108" s="52" t="s">
        <v>2005</v>
      </c>
      <c r="D108" s="52">
        <v>1.070954996E9</v>
      </c>
      <c r="E108" s="52" t="s">
        <v>1908</v>
      </c>
      <c r="F108" s="69">
        <v>45678.0</v>
      </c>
      <c r="G108" s="52" t="s">
        <v>1660</v>
      </c>
      <c r="H108" s="52" t="s">
        <v>2299</v>
      </c>
      <c r="I108" s="52" t="s">
        <v>2299</v>
      </c>
      <c r="J108" s="52" t="s">
        <v>1478</v>
      </c>
      <c r="K108" s="52" t="s">
        <v>2069</v>
      </c>
      <c r="L108" s="52" t="s">
        <v>2010</v>
      </c>
      <c r="N108" s="52" t="s">
        <v>2010</v>
      </c>
      <c r="O108" s="69">
        <v>45674.0</v>
      </c>
      <c r="P108" s="52">
        <v>2.0251300004463E13</v>
      </c>
      <c r="Q108" s="52" t="s">
        <v>2069</v>
      </c>
      <c r="R108" s="69">
        <v>45674.0</v>
      </c>
      <c r="S108" s="52" t="s">
        <v>2613</v>
      </c>
      <c r="T108" s="52" t="s">
        <v>2013</v>
      </c>
      <c r="U108" s="52" t="s">
        <v>2620</v>
      </c>
      <c r="V108" s="52" t="s">
        <v>581</v>
      </c>
      <c r="W108" s="52" t="s">
        <v>1471</v>
      </c>
      <c r="X108" s="52" t="s">
        <v>583</v>
      </c>
      <c r="Y108" s="52" t="s">
        <v>503</v>
      </c>
      <c r="Z108" s="52" t="s">
        <v>2081</v>
      </c>
      <c r="AA108" s="52" t="s">
        <v>2016</v>
      </c>
      <c r="AB108" s="52" t="s">
        <v>2032</v>
      </c>
      <c r="AC108" s="52" t="s">
        <v>2114</v>
      </c>
      <c r="AD108" s="52" t="s">
        <v>587</v>
      </c>
      <c r="AE108" s="52" t="s">
        <v>2338</v>
      </c>
      <c r="AF108" s="69">
        <v>32748.0</v>
      </c>
      <c r="AG108" s="52">
        <v>36.0</v>
      </c>
      <c r="AH108" s="52" t="s">
        <v>1625</v>
      </c>
      <c r="AI108" s="52" t="s">
        <v>2621</v>
      </c>
      <c r="AJ108" s="52" t="s">
        <v>2622</v>
      </c>
      <c r="AK108" s="52" t="s">
        <v>2022</v>
      </c>
      <c r="AL108" s="52" t="s">
        <v>1661</v>
      </c>
      <c r="AM108" s="52" t="s">
        <v>587</v>
      </c>
      <c r="AN108" s="52" t="s">
        <v>1661</v>
      </c>
      <c r="AO108" s="52" t="s">
        <v>1483</v>
      </c>
      <c r="AP108" s="52">
        <v>5925.0</v>
      </c>
      <c r="AQ108" s="52">
        <v>10025.0</v>
      </c>
      <c r="AR108" s="52" t="s">
        <v>62</v>
      </c>
      <c r="AS108" s="69">
        <v>45680.0</v>
      </c>
      <c r="AT108" s="70">
        <v>46013.0</v>
      </c>
      <c r="AU108" s="69">
        <v>45680.0</v>
      </c>
      <c r="AV108" s="70">
        <v>46013.0</v>
      </c>
      <c r="AW108" s="52" t="s">
        <v>1483</v>
      </c>
      <c r="AX108" s="52" t="s">
        <v>587</v>
      </c>
      <c r="AY108" s="52">
        <v>333.0</v>
      </c>
      <c r="AZ108" s="52" t="s">
        <v>2010</v>
      </c>
      <c r="BA108" s="73" t="s">
        <v>2623</v>
      </c>
      <c r="BB108" s="69">
        <v>45680.0</v>
      </c>
      <c r="BC108" s="52" t="s">
        <v>438</v>
      </c>
      <c r="BD108" s="52">
        <v>7.9565032E7</v>
      </c>
      <c r="BE108" s="52" t="s">
        <v>2534</v>
      </c>
      <c r="BF108" s="52" t="s">
        <v>134</v>
      </c>
      <c r="BG108" s="52" t="s">
        <v>2041</v>
      </c>
      <c r="BH108" s="52" t="s">
        <v>501</v>
      </c>
      <c r="BI108" s="52" t="s">
        <v>2027</v>
      </c>
      <c r="BK108" s="52" t="s">
        <v>2010</v>
      </c>
    </row>
    <row r="109">
      <c r="A109" s="52">
        <v>85.0</v>
      </c>
      <c r="B109" s="52" t="s">
        <v>506</v>
      </c>
      <c r="C109" s="52" t="s">
        <v>2005</v>
      </c>
      <c r="D109" s="52">
        <v>7183875.0</v>
      </c>
      <c r="E109" s="52" t="s">
        <v>1908</v>
      </c>
      <c r="F109" s="69">
        <v>45677.0</v>
      </c>
      <c r="G109" s="52" t="s">
        <v>1662</v>
      </c>
      <c r="H109" s="52" t="s">
        <v>2299</v>
      </c>
      <c r="I109" s="52" t="s">
        <v>2299</v>
      </c>
      <c r="J109" s="52" t="s">
        <v>1478</v>
      </c>
      <c r="K109" s="52" t="s">
        <v>2069</v>
      </c>
      <c r="L109" s="52" t="s">
        <v>2010</v>
      </c>
      <c r="N109" s="52" t="s">
        <v>2010</v>
      </c>
      <c r="O109" s="69">
        <v>45674.0</v>
      </c>
      <c r="P109" s="52">
        <v>2.0251300004453E13</v>
      </c>
      <c r="Q109" s="52" t="s">
        <v>2069</v>
      </c>
      <c r="R109" s="69">
        <v>45674.0</v>
      </c>
      <c r="S109" s="52" t="s">
        <v>2624</v>
      </c>
      <c r="T109" s="52" t="s">
        <v>2013</v>
      </c>
      <c r="U109" s="52" t="s">
        <v>2625</v>
      </c>
      <c r="V109" s="52" t="s">
        <v>581</v>
      </c>
      <c r="W109" s="52" t="s">
        <v>1471</v>
      </c>
      <c r="X109" s="52" t="s">
        <v>583</v>
      </c>
      <c r="Y109" s="52" t="s">
        <v>507</v>
      </c>
      <c r="Z109" s="52" t="s">
        <v>2081</v>
      </c>
      <c r="AA109" s="52" t="s">
        <v>2016</v>
      </c>
      <c r="AB109" s="52" t="s">
        <v>2062</v>
      </c>
      <c r="AC109" s="52" t="s">
        <v>2033</v>
      </c>
      <c r="AD109" s="52" t="s">
        <v>587</v>
      </c>
      <c r="AE109" s="52" t="s">
        <v>2626</v>
      </c>
      <c r="AF109" s="69">
        <v>30528.0</v>
      </c>
      <c r="AG109" s="52">
        <v>42.0</v>
      </c>
      <c r="AH109" s="52" t="s">
        <v>1663</v>
      </c>
      <c r="AI109" s="52" t="s">
        <v>2627</v>
      </c>
      <c r="AJ109" s="52" t="s">
        <v>2628</v>
      </c>
      <c r="AK109" s="52" t="s">
        <v>2022</v>
      </c>
      <c r="AL109" s="52" t="s">
        <v>1664</v>
      </c>
      <c r="AM109" s="52" t="s">
        <v>587</v>
      </c>
      <c r="AN109" s="52" t="s">
        <v>1664</v>
      </c>
      <c r="AO109" s="52" t="s">
        <v>1483</v>
      </c>
      <c r="AP109" s="52">
        <v>5725.0</v>
      </c>
      <c r="AQ109" s="52">
        <v>9625.0</v>
      </c>
      <c r="AR109" s="52" t="s">
        <v>197</v>
      </c>
      <c r="AS109" s="69">
        <v>45678.0</v>
      </c>
      <c r="AT109" s="70">
        <v>45981.0</v>
      </c>
      <c r="AU109" s="69">
        <v>45678.0</v>
      </c>
      <c r="AV109" s="70">
        <v>45981.0</v>
      </c>
      <c r="AW109" s="52" t="s">
        <v>1483</v>
      </c>
      <c r="AX109" s="52" t="s">
        <v>587</v>
      </c>
      <c r="AY109" s="52">
        <v>303.0</v>
      </c>
      <c r="AZ109" s="52" t="s">
        <v>2010</v>
      </c>
      <c r="BA109" s="73" t="s">
        <v>2629</v>
      </c>
      <c r="BB109" s="69">
        <v>45678.0</v>
      </c>
      <c r="BC109" s="52" t="s">
        <v>509</v>
      </c>
      <c r="BD109" s="52">
        <v>5.271644E7</v>
      </c>
      <c r="BE109" s="52" t="s">
        <v>2630</v>
      </c>
      <c r="BF109" s="52" t="s">
        <v>263</v>
      </c>
      <c r="BG109" s="52" t="s">
        <v>2041</v>
      </c>
      <c r="BH109" s="52" t="s">
        <v>505</v>
      </c>
      <c r="BI109" s="52" t="s">
        <v>2027</v>
      </c>
      <c r="BK109" s="52" t="s">
        <v>2010</v>
      </c>
    </row>
    <row r="110">
      <c r="A110" s="52">
        <v>86.0</v>
      </c>
      <c r="B110" s="52" t="s">
        <v>511</v>
      </c>
      <c r="C110" s="52" t="s">
        <v>2005</v>
      </c>
      <c r="D110" s="52">
        <v>1.3456486E7</v>
      </c>
      <c r="E110" s="52" t="s">
        <v>1908</v>
      </c>
      <c r="F110" s="69">
        <v>45677.0</v>
      </c>
      <c r="G110" s="52" t="s">
        <v>513</v>
      </c>
      <c r="H110" s="52" t="s">
        <v>2257</v>
      </c>
      <c r="I110" s="52" t="s">
        <v>2257</v>
      </c>
      <c r="J110" s="52" t="s">
        <v>1478</v>
      </c>
      <c r="K110" s="52" t="s">
        <v>2059</v>
      </c>
      <c r="L110" s="52" t="s">
        <v>2010</v>
      </c>
      <c r="N110" s="52" t="s">
        <v>2010</v>
      </c>
      <c r="O110" s="69">
        <v>45674.0</v>
      </c>
      <c r="P110" s="52">
        <v>2.0251800004543E13</v>
      </c>
      <c r="Q110" s="52" t="s">
        <v>2059</v>
      </c>
      <c r="R110" s="69">
        <v>45674.0</v>
      </c>
      <c r="S110" s="52" t="s">
        <v>2631</v>
      </c>
      <c r="T110" s="52" t="s">
        <v>2013</v>
      </c>
      <c r="U110" s="52" t="s">
        <v>2632</v>
      </c>
      <c r="V110" s="52" t="s">
        <v>581</v>
      </c>
      <c r="W110" s="52" t="s">
        <v>1471</v>
      </c>
      <c r="X110" s="52" t="s">
        <v>583</v>
      </c>
      <c r="Y110" s="52" t="s">
        <v>512</v>
      </c>
      <c r="Z110" s="52" t="s">
        <v>2081</v>
      </c>
      <c r="AA110" s="52" t="s">
        <v>2016</v>
      </c>
      <c r="AB110" s="52" t="s">
        <v>2062</v>
      </c>
      <c r="AC110" s="52" t="s">
        <v>2633</v>
      </c>
      <c r="AD110" s="52" t="s">
        <v>587</v>
      </c>
      <c r="AE110" s="52" t="s">
        <v>2422</v>
      </c>
      <c r="AF110" s="69">
        <v>22513.0</v>
      </c>
      <c r="AG110" s="52">
        <v>64.0</v>
      </c>
      <c r="AH110" s="52" t="s">
        <v>1526</v>
      </c>
      <c r="AI110" s="52" t="s">
        <v>2634</v>
      </c>
      <c r="AJ110" s="52" t="s">
        <v>2635</v>
      </c>
      <c r="AK110" s="52" t="s">
        <v>2022</v>
      </c>
      <c r="AL110" s="52" t="s">
        <v>1665</v>
      </c>
      <c r="AM110" s="52" t="s">
        <v>587</v>
      </c>
      <c r="AN110" s="52" t="s">
        <v>1665</v>
      </c>
      <c r="AO110" s="52" t="s">
        <v>1483</v>
      </c>
      <c r="AP110" s="52">
        <v>10625.0</v>
      </c>
      <c r="AQ110" s="52">
        <v>9725.0</v>
      </c>
      <c r="AR110" s="52" t="s">
        <v>228</v>
      </c>
      <c r="AS110" s="69">
        <v>45678.0</v>
      </c>
      <c r="AT110" s="69">
        <v>45782.0</v>
      </c>
      <c r="AU110" s="69">
        <v>45678.0</v>
      </c>
      <c r="AV110" s="69">
        <v>45782.0</v>
      </c>
      <c r="AW110" s="52" t="s">
        <v>1483</v>
      </c>
      <c r="AX110" s="52" t="s">
        <v>587</v>
      </c>
      <c r="AY110" s="52">
        <v>104.0</v>
      </c>
      <c r="AZ110" s="52" t="s">
        <v>2010</v>
      </c>
      <c r="BA110" s="73" t="s">
        <v>2636</v>
      </c>
      <c r="BB110" s="69">
        <v>45678.0</v>
      </c>
      <c r="BC110" s="52" t="s">
        <v>514</v>
      </c>
      <c r="BD110" s="52">
        <v>1.018449914E9</v>
      </c>
      <c r="BE110" s="52" t="s">
        <v>2637</v>
      </c>
      <c r="BF110" s="52" t="s">
        <v>453</v>
      </c>
      <c r="BG110" s="52" t="s">
        <v>2041</v>
      </c>
      <c r="BH110" s="52" t="s">
        <v>510</v>
      </c>
      <c r="BI110" s="52" t="s">
        <v>2027</v>
      </c>
      <c r="BK110" s="52" t="s">
        <v>2010</v>
      </c>
    </row>
    <row r="111">
      <c r="A111" s="52">
        <v>87.0</v>
      </c>
      <c r="B111" s="52" t="s">
        <v>516</v>
      </c>
      <c r="C111" s="52" t="s">
        <v>2005</v>
      </c>
      <c r="D111" s="52">
        <v>5.2045839E7</v>
      </c>
      <c r="E111" s="52" t="s">
        <v>1908</v>
      </c>
      <c r="F111" s="69">
        <v>45679.0</v>
      </c>
      <c r="G111" s="52" t="s">
        <v>1667</v>
      </c>
      <c r="H111" s="52" t="s">
        <v>2028</v>
      </c>
      <c r="I111" s="52" t="s">
        <v>2028</v>
      </c>
      <c r="J111" s="52" t="s">
        <v>1470</v>
      </c>
      <c r="K111" s="52" t="s">
        <v>2029</v>
      </c>
      <c r="L111" s="52" t="s">
        <v>2010</v>
      </c>
      <c r="N111" s="52" t="s">
        <v>2010</v>
      </c>
      <c r="O111" s="69">
        <v>45677.0</v>
      </c>
      <c r="P111" s="52">
        <v>2.0251110004683E13</v>
      </c>
      <c r="Q111" s="52" t="s">
        <v>2029</v>
      </c>
      <c r="R111" s="69">
        <v>45677.0</v>
      </c>
      <c r="S111" s="52" t="s">
        <v>2638</v>
      </c>
      <c r="T111" s="52" t="s">
        <v>2013</v>
      </c>
      <c r="U111" s="52" t="s">
        <v>2639</v>
      </c>
      <c r="V111" s="52" t="s">
        <v>581</v>
      </c>
      <c r="W111" s="52" t="s">
        <v>1471</v>
      </c>
      <c r="X111" s="52" t="s">
        <v>583</v>
      </c>
      <c r="Y111" s="52" t="s">
        <v>517</v>
      </c>
      <c r="Z111" s="52" t="s">
        <v>2015</v>
      </c>
      <c r="AA111" s="52" t="s">
        <v>2016</v>
      </c>
      <c r="AB111" s="52" t="s">
        <v>2062</v>
      </c>
      <c r="AC111" s="52" t="s">
        <v>2114</v>
      </c>
      <c r="AD111" s="52" t="s">
        <v>587</v>
      </c>
      <c r="AE111" s="52" t="s">
        <v>2338</v>
      </c>
      <c r="AF111" s="69">
        <v>25952.0</v>
      </c>
      <c r="AG111" s="52">
        <v>54.0</v>
      </c>
      <c r="AH111" s="52" t="s">
        <v>1528</v>
      </c>
      <c r="AI111" s="52" t="s">
        <v>2640</v>
      </c>
      <c r="AJ111" s="52" t="s">
        <v>2641</v>
      </c>
      <c r="AK111" s="52" t="s">
        <v>2022</v>
      </c>
      <c r="AL111" s="52" t="s">
        <v>1668</v>
      </c>
      <c r="AM111" s="52" t="s">
        <v>587</v>
      </c>
      <c r="AN111" s="52" t="s">
        <v>1668</v>
      </c>
      <c r="AO111" s="52" t="s">
        <v>1483</v>
      </c>
      <c r="AP111" s="52">
        <v>7925.0</v>
      </c>
      <c r="AQ111" s="52">
        <v>10425.0</v>
      </c>
      <c r="AR111" s="52" t="s">
        <v>145</v>
      </c>
      <c r="AS111" s="69">
        <v>45680.0</v>
      </c>
      <c r="AT111" s="69">
        <v>45922.0</v>
      </c>
      <c r="AU111" s="69">
        <v>45680.0</v>
      </c>
      <c r="AV111" s="69">
        <v>45922.0</v>
      </c>
      <c r="AW111" s="52" t="s">
        <v>1483</v>
      </c>
      <c r="AX111" s="52" t="s">
        <v>587</v>
      </c>
      <c r="AY111" s="52">
        <v>242.0</v>
      </c>
      <c r="AZ111" s="52" t="s">
        <v>2010</v>
      </c>
      <c r="BA111" s="73" t="s">
        <v>2642</v>
      </c>
      <c r="BB111" s="69">
        <v>45680.0</v>
      </c>
      <c r="BC111" s="52" t="s">
        <v>146</v>
      </c>
      <c r="BD111" s="52">
        <v>5.2985556E7</v>
      </c>
      <c r="BE111" s="52" t="s">
        <v>2176</v>
      </c>
      <c r="BF111" s="52" t="s">
        <v>147</v>
      </c>
      <c r="BG111" s="52" t="s">
        <v>2041</v>
      </c>
      <c r="BH111" s="52" t="s">
        <v>515</v>
      </c>
      <c r="BI111" s="52" t="s">
        <v>2027</v>
      </c>
      <c r="BK111" s="52" t="s">
        <v>2010</v>
      </c>
    </row>
    <row r="112">
      <c r="A112" s="52">
        <v>88.0</v>
      </c>
      <c r="B112" s="52" t="s">
        <v>521</v>
      </c>
      <c r="C112" s="52" t="s">
        <v>2005</v>
      </c>
      <c r="D112" s="52">
        <v>5.3082812E7</v>
      </c>
      <c r="E112" s="52" t="s">
        <v>1908</v>
      </c>
      <c r="F112" s="69">
        <v>45681.0</v>
      </c>
      <c r="G112" s="52" t="s">
        <v>1669</v>
      </c>
      <c r="H112" s="52" t="s">
        <v>2028</v>
      </c>
      <c r="I112" s="52" t="s">
        <v>2028</v>
      </c>
      <c r="J112" s="52" t="s">
        <v>1470</v>
      </c>
      <c r="K112" s="52" t="s">
        <v>2029</v>
      </c>
      <c r="L112" s="52" t="s">
        <v>2010</v>
      </c>
      <c r="N112" s="52" t="s">
        <v>2010</v>
      </c>
      <c r="O112" s="69">
        <v>45678.0</v>
      </c>
      <c r="P112" s="52">
        <v>2.0251110005203E13</v>
      </c>
      <c r="Q112" s="52" t="s">
        <v>2029</v>
      </c>
      <c r="R112" s="69">
        <v>45678.0</v>
      </c>
      <c r="S112" s="52" t="s">
        <v>2643</v>
      </c>
      <c r="T112" s="52" t="s">
        <v>2013</v>
      </c>
      <c r="U112" s="52" t="s">
        <v>2644</v>
      </c>
      <c r="V112" s="52" t="s">
        <v>581</v>
      </c>
      <c r="W112" s="52" t="s">
        <v>1471</v>
      </c>
      <c r="X112" s="52" t="s">
        <v>583</v>
      </c>
      <c r="Y112" s="52" t="s">
        <v>1670</v>
      </c>
      <c r="Z112" s="52" t="s">
        <v>2015</v>
      </c>
      <c r="AA112" s="52" t="s">
        <v>2016</v>
      </c>
      <c r="AB112" s="52" t="s">
        <v>2062</v>
      </c>
      <c r="AC112" s="52" t="s">
        <v>2033</v>
      </c>
      <c r="AD112" s="52" t="s">
        <v>587</v>
      </c>
      <c r="AE112" s="52" t="s">
        <v>2463</v>
      </c>
      <c r="AF112" s="69">
        <v>31166.0</v>
      </c>
      <c r="AG112" s="52">
        <v>40.0</v>
      </c>
      <c r="AH112" s="52" t="s">
        <v>1528</v>
      </c>
      <c r="AI112" s="52" t="s">
        <v>2645</v>
      </c>
      <c r="AJ112" s="52" t="s">
        <v>2646</v>
      </c>
      <c r="AK112" s="52" t="s">
        <v>2022</v>
      </c>
      <c r="AL112" s="52" t="s">
        <v>1606</v>
      </c>
      <c r="AM112" s="52" t="s">
        <v>587</v>
      </c>
      <c r="AN112" s="52" t="s">
        <v>1606</v>
      </c>
      <c r="AO112" s="52" t="s">
        <v>1483</v>
      </c>
      <c r="AP112" s="52">
        <v>8025.0</v>
      </c>
      <c r="AQ112" s="52">
        <v>11625.0</v>
      </c>
      <c r="AR112" s="52" t="s">
        <v>145</v>
      </c>
      <c r="AS112" s="69">
        <v>45682.0</v>
      </c>
      <c r="AU112" s="69">
        <v>45682.0</v>
      </c>
      <c r="AV112" s="70">
        <v>45956.0</v>
      </c>
      <c r="AW112" s="52" t="s">
        <v>1483</v>
      </c>
      <c r="AX112" s="52" t="s">
        <v>587</v>
      </c>
      <c r="AY112" s="52">
        <v>274.0</v>
      </c>
      <c r="AZ112" s="52" t="s">
        <v>2010</v>
      </c>
      <c r="BA112" s="73" t="s">
        <v>2647</v>
      </c>
      <c r="BB112" s="69">
        <v>45682.0</v>
      </c>
      <c r="BC112" s="52" t="s">
        <v>524</v>
      </c>
      <c r="BD112" s="52">
        <v>1.01603403E9</v>
      </c>
      <c r="BE112" s="52" t="s">
        <v>2648</v>
      </c>
      <c r="BF112" s="52" t="s">
        <v>2649</v>
      </c>
      <c r="BG112" s="52" t="s">
        <v>2041</v>
      </c>
      <c r="BH112" s="52" t="s">
        <v>519</v>
      </c>
      <c r="BI112" s="52" t="s">
        <v>2027</v>
      </c>
      <c r="BK112" s="52" t="s">
        <v>2010</v>
      </c>
    </row>
    <row r="113">
      <c r="A113" s="52">
        <v>89.0</v>
      </c>
      <c r="B113" s="52" t="s">
        <v>526</v>
      </c>
      <c r="C113" s="52" t="s">
        <v>2005</v>
      </c>
      <c r="D113" s="52">
        <v>7687651.0</v>
      </c>
      <c r="E113" s="52" t="s">
        <v>1908</v>
      </c>
      <c r="F113" s="69">
        <v>45679.0</v>
      </c>
      <c r="G113" s="52" t="s">
        <v>1671</v>
      </c>
      <c r="H113" s="52" t="s">
        <v>2028</v>
      </c>
      <c r="I113" s="52" t="s">
        <v>2028</v>
      </c>
      <c r="J113" s="52" t="s">
        <v>1470</v>
      </c>
      <c r="K113" s="52" t="s">
        <v>2029</v>
      </c>
      <c r="L113" s="52" t="s">
        <v>2010</v>
      </c>
      <c r="N113" s="52" t="s">
        <v>2010</v>
      </c>
      <c r="O113" s="69">
        <v>45678.0</v>
      </c>
      <c r="P113" s="52" t="s">
        <v>2650</v>
      </c>
      <c r="Q113" s="52" t="s">
        <v>2029</v>
      </c>
      <c r="R113" s="69">
        <v>45678.0</v>
      </c>
      <c r="S113" s="52" t="s">
        <v>2651</v>
      </c>
      <c r="T113" s="52" t="s">
        <v>2013</v>
      </c>
      <c r="U113" s="52" t="s">
        <v>2652</v>
      </c>
      <c r="V113" s="52" t="s">
        <v>581</v>
      </c>
      <c r="W113" s="52" t="s">
        <v>1471</v>
      </c>
      <c r="X113" s="52" t="s">
        <v>583</v>
      </c>
      <c r="Y113" s="52" t="s">
        <v>527</v>
      </c>
      <c r="Z113" s="52" t="s">
        <v>2081</v>
      </c>
      <c r="AA113" s="52" t="s">
        <v>2016</v>
      </c>
      <c r="AB113" s="52" t="s">
        <v>2062</v>
      </c>
      <c r="AC113" s="52" t="s">
        <v>2033</v>
      </c>
      <c r="AD113" s="52" t="s">
        <v>587</v>
      </c>
      <c r="AE113" s="52" t="s">
        <v>2543</v>
      </c>
      <c r="AF113" s="69">
        <v>26024.0</v>
      </c>
      <c r="AG113" s="52">
        <v>54.0</v>
      </c>
      <c r="AH113" s="52" t="s">
        <v>1544</v>
      </c>
      <c r="AI113" s="52" t="s">
        <v>2653</v>
      </c>
      <c r="AJ113" s="52" t="s">
        <v>2654</v>
      </c>
      <c r="AK113" s="52" t="s">
        <v>2022</v>
      </c>
      <c r="AL113" s="52" t="s">
        <v>1672</v>
      </c>
      <c r="AM113" s="52" t="s">
        <v>587</v>
      </c>
      <c r="AN113" s="52" t="s">
        <v>1672</v>
      </c>
      <c r="AO113" s="52" t="s">
        <v>1483</v>
      </c>
      <c r="AP113" s="52">
        <v>14725.0</v>
      </c>
      <c r="AQ113" s="52">
        <v>10525.0</v>
      </c>
      <c r="AR113" s="52" t="s">
        <v>145</v>
      </c>
      <c r="AS113" s="69">
        <v>45680.0</v>
      </c>
      <c r="AT113" s="70">
        <v>45983.0</v>
      </c>
      <c r="AU113" s="69">
        <v>45680.0</v>
      </c>
      <c r="AV113" s="70">
        <v>45983.0</v>
      </c>
      <c r="AW113" s="52" t="s">
        <v>1483</v>
      </c>
      <c r="AX113" s="52" t="s">
        <v>587</v>
      </c>
      <c r="AY113" s="52">
        <v>303.0</v>
      </c>
      <c r="AZ113" s="52" t="s">
        <v>2010</v>
      </c>
      <c r="BA113" s="73" t="s">
        <v>2655</v>
      </c>
      <c r="BB113" s="69">
        <v>45680.0</v>
      </c>
      <c r="BC113" s="52" t="s">
        <v>529</v>
      </c>
      <c r="BD113" s="52">
        <v>5.2459736E7</v>
      </c>
      <c r="BE113" s="52" t="s">
        <v>2656</v>
      </c>
      <c r="BF113" s="52" t="s">
        <v>530</v>
      </c>
      <c r="BG113" s="52" t="s">
        <v>2041</v>
      </c>
      <c r="BH113" s="52" t="s">
        <v>525</v>
      </c>
      <c r="BI113" s="52" t="s">
        <v>2027</v>
      </c>
      <c r="BK113" s="52" t="s">
        <v>2010</v>
      </c>
    </row>
    <row r="114">
      <c r="A114" s="52">
        <v>90.0</v>
      </c>
      <c r="B114" s="52" t="s">
        <v>531</v>
      </c>
      <c r="C114" s="52" t="s">
        <v>2005</v>
      </c>
      <c r="D114" s="52">
        <v>1.037608001E9</v>
      </c>
      <c r="E114" s="52" t="s">
        <v>1908</v>
      </c>
      <c r="F114" s="69">
        <v>45680.0</v>
      </c>
      <c r="G114" s="52" t="s">
        <v>1673</v>
      </c>
      <c r="H114" s="52" t="s">
        <v>2088</v>
      </c>
      <c r="I114" s="52" t="s">
        <v>2088</v>
      </c>
      <c r="J114" s="52" t="s">
        <v>1478</v>
      </c>
      <c r="K114" s="52" t="s">
        <v>2515</v>
      </c>
      <c r="L114" s="52" t="s">
        <v>2010</v>
      </c>
      <c r="N114" s="52" t="s">
        <v>2010</v>
      </c>
      <c r="O114" s="69">
        <v>45678.0</v>
      </c>
      <c r="P114" s="52">
        <v>2.0251000005233E13</v>
      </c>
      <c r="Q114" s="52" t="s">
        <v>2515</v>
      </c>
      <c r="R114" s="69">
        <v>45678.0</v>
      </c>
      <c r="S114" s="52" t="s">
        <v>2657</v>
      </c>
      <c r="T114" s="52" t="s">
        <v>2013</v>
      </c>
      <c r="U114" s="52" t="s">
        <v>2658</v>
      </c>
      <c r="V114" s="52" t="s">
        <v>581</v>
      </c>
      <c r="W114" s="52" t="s">
        <v>1471</v>
      </c>
      <c r="X114" s="52" t="s">
        <v>583</v>
      </c>
      <c r="Y114" s="52" t="s">
        <v>532</v>
      </c>
      <c r="Z114" s="52" t="s">
        <v>2015</v>
      </c>
      <c r="AA114" s="52" t="s">
        <v>2153</v>
      </c>
      <c r="AB114" s="52" t="s">
        <v>2062</v>
      </c>
      <c r="AC114" s="52" t="s">
        <v>2018</v>
      </c>
      <c r="AD114" s="52" t="s">
        <v>587</v>
      </c>
      <c r="AE114" s="52" t="s">
        <v>2659</v>
      </c>
      <c r="AF114" s="70">
        <v>33167.0</v>
      </c>
      <c r="AG114" s="52">
        <v>35.0</v>
      </c>
      <c r="AH114" s="52" t="s">
        <v>1674</v>
      </c>
      <c r="AI114" s="52" t="s">
        <v>2660</v>
      </c>
      <c r="AJ114" s="52" t="s">
        <v>2661</v>
      </c>
      <c r="AK114" s="52" t="s">
        <v>2022</v>
      </c>
      <c r="AL114" s="52" t="s">
        <v>1675</v>
      </c>
      <c r="AM114" s="52" t="s">
        <v>587</v>
      </c>
      <c r="AN114" s="52" t="s">
        <v>1675</v>
      </c>
      <c r="AO114" s="52" t="s">
        <v>1483</v>
      </c>
      <c r="AP114" s="52">
        <v>11625.0</v>
      </c>
      <c r="AQ114" s="52">
        <v>11125.0</v>
      </c>
      <c r="AR114" s="52" t="s">
        <v>77</v>
      </c>
      <c r="AS114" s="69">
        <v>45681.0</v>
      </c>
      <c r="AT114" s="70">
        <v>46014.0</v>
      </c>
      <c r="AU114" s="69">
        <v>45681.0</v>
      </c>
      <c r="AV114" s="70">
        <v>46014.0</v>
      </c>
      <c r="AW114" s="52" t="s">
        <v>1483</v>
      </c>
      <c r="AX114" s="52" t="s">
        <v>587</v>
      </c>
      <c r="AY114" s="52">
        <v>333.0</v>
      </c>
      <c r="AZ114" s="52" t="s">
        <v>2010</v>
      </c>
      <c r="BA114" s="73" t="s">
        <v>2662</v>
      </c>
      <c r="BB114" s="69">
        <v>45681.0</v>
      </c>
      <c r="BC114" s="52" t="s">
        <v>2663</v>
      </c>
      <c r="BD114" s="52">
        <v>1.019090785E9</v>
      </c>
      <c r="BE114" s="52" t="s">
        <v>2120</v>
      </c>
      <c r="BF114" s="52" t="s">
        <v>537</v>
      </c>
      <c r="BG114" s="52" t="s">
        <v>2041</v>
      </c>
      <c r="BH114" s="52" t="s">
        <v>525</v>
      </c>
      <c r="BI114" s="52" t="s">
        <v>2027</v>
      </c>
      <c r="BK114" s="52" t="s">
        <v>2010</v>
      </c>
    </row>
    <row r="115">
      <c r="A115" s="52">
        <v>91.0</v>
      </c>
      <c r="B115" s="52" t="s">
        <v>534</v>
      </c>
      <c r="C115" s="52" t="s">
        <v>2005</v>
      </c>
      <c r="D115" s="52">
        <v>1.019065837E9</v>
      </c>
      <c r="E115" s="52" t="s">
        <v>1908</v>
      </c>
      <c r="F115" s="69">
        <v>45679.0</v>
      </c>
      <c r="G115" s="52" t="s">
        <v>1676</v>
      </c>
      <c r="H115" s="52" t="s">
        <v>2088</v>
      </c>
      <c r="I115" s="52" t="s">
        <v>2088</v>
      </c>
      <c r="J115" s="52" t="s">
        <v>1478</v>
      </c>
      <c r="K115" s="52" t="s">
        <v>2515</v>
      </c>
      <c r="L115" s="52" t="s">
        <v>2010</v>
      </c>
      <c r="N115" s="52" t="s">
        <v>2010</v>
      </c>
      <c r="O115" s="69">
        <v>45678.0</v>
      </c>
      <c r="P115" s="52" t="s">
        <v>2664</v>
      </c>
      <c r="Q115" s="52" t="s">
        <v>2515</v>
      </c>
      <c r="R115" s="69">
        <v>45678.0</v>
      </c>
      <c r="S115" s="52" t="s">
        <v>2665</v>
      </c>
      <c r="T115" s="52" t="s">
        <v>2013</v>
      </c>
      <c r="U115" s="52" t="s">
        <v>2666</v>
      </c>
      <c r="V115" s="52" t="s">
        <v>581</v>
      </c>
      <c r="W115" s="52" t="s">
        <v>1471</v>
      </c>
      <c r="X115" s="52" t="s">
        <v>583</v>
      </c>
      <c r="Y115" s="52" t="s">
        <v>535</v>
      </c>
      <c r="Z115" s="52" t="s">
        <v>2081</v>
      </c>
      <c r="AA115" s="52" t="s">
        <v>2153</v>
      </c>
      <c r="AB115" s="52" t="s">
        <v>2470</v>
      </c>
      <c r="AC115" s="52" t="s">
        <v>2018</v>
      </c>
      <c r="AD115" s="52" t="s">
        <v>587</v>
      </c>
      <c r="AE115" s="52" t="s">
        <v>2463</v>
      </c>
      <c r="AF115" s="70">
        <v>33587.0</v>
      </c>
      <c r="AG115" s="52">
        <v>34.0</v>
      </c>
      <c r="AH115" s="52" t="s">
        <v>1526</v>
      </c>
      <c r="AI115" s="52" t="s">
        <v>2667</v>
      </c>
      <c r="AJ115" s="52" t="s">
        <v>2668</v>
      </c>
      <c r="AK115" s="52" t="s">
        <v>2022</v>
      </c>
      <c r="AL115" s="52" t="s">
        <v>1677</v>
      </c>
      <c r="AM115" s="52" t="s">
        <v>587</v>
      </c>
      <c r="AN115" s="52" t="s">
        <v>1677</v>
      </c>
      <c r="AO115" s="52" t="s">
        <v>1483</v>
      </c>
      <c r="AP115" s="52">
        <v>11825.0</v>
      </c>
      <c r="AQ115" s="52">
        <v>11025.0</v>
      </c>
      <c r="AR115" s="52" t="s">
        <v>77</v>
      </c>
      <c r="AS115" s="69">
        <v>45680.0</v>
      </c>
      <c r="AT115" s="70">
        <v>46014.0</v>
      </c>
      <c r="AU115" s="69">
        <v>45680.0</v>
      </c>
      <c r="AV115" s="70">
        <v>46014.0</v>
      </c>
      <c r="AW115" s="52" t="s">
        <v>1483</v>
      </c>
      <c r="AX115" s="52" t="s">
        <v>587</v>
      </c>
      <c r="AY115" s="52">
        <v>334.0</v>
      </c>
      <c r="AZ115" s="52" t="s">
        <v>2010</v>
      </c>
      <c r="BA115" s="73" t="s">
        <v>2669</v>
      </c>
      <c r="BB115" s="69">
        <v>45680.0</v>
      </c>
      <c r="BC115" s="52" t="s">
        <v>229</v>
      </c>
      <c r="BD115" s="69">
        <v>1.0012294E7</v>
      </c>
      <c r="BE115" s="52" t="s">
        <v>2112</v>
      </c>
      <c r="BF115" s="52" t="s">
        <v>537</v>
      </c>
      <c r="BG115" s="52" t="s">
        <v>2041</v>
      </c>
      <c r="BH115" s="52" t="s">
        <v>448</v>
      </c>
      <c r="BI115" s="52" t="s">
        <v>2027</v>
      </c>
      <c r="BK115" s="52" t="s">
        <v>2010</v>
      </c>
    </row>
    <row r="116">
      <c r="A116" s="52">
        <v>92.0</v>
      </c>
      <c r="B116" s="52" t="s">
        <v>1678</v>
      </c>
      <c r="C116" s="52" t="s">
        <v>2005</v>
      </c>
      <c r="D116" s="52">
        <v>8.7949267E7</v>
      </c>
      <c r="E116" s="52" t="s">
        <v>1908</v>
      </c>
      <c r="F116" s="69">
        <v>45679.0</v>
      </c>
      <c r="G116" s="52" t="s">
        <v>541</v>
      </c>
      <c r="H116" s="52" t="s">
        <v>2257</v>
      </c>
      <c r="I116" s="52" t="s">
        <v>2257</v>
      </c>
      <c r="J116" s="52" t="s">
        <v>1478</v>
      </c>
      <c r="K116" s="52" t="s">
        <v>2059</v>
      </c>
      <c r="L116" s="52" t="s">
        <v>2010</v>
      </c>
      <c r="N116" s="52" t="s">
        <v>2010</v>
      </c>
      <c r="O116" s="69">
        <v>45678.0</v>
      </c>
      <c r="P116" s="52">
        <v>2.0251800005163E13</v>
      </c>
      <c r="Q116" s="52" t="s">
        <v>2059</v>
      </c>
      <c r="R116" s="69">
        <v>45678.0</v>
      </c>
      <c r="S116" s="52" t="s">
        <v>2670</v>
      </c>
      <c r="T116" s="52" t="s">
        <v>2013</v>
      </c>
      <c r="U116" s="52" t="s">
        <v>2671</v>
      </c>
      <c r="V116" s="52" t="s">
        <v>581</v>
      </c>
      <c r="W116" s="52" t="s">
        <v>1471</v>
      </c>
      <c r="X116" s="52" t="s">
        <v>583</v>
      </c>
      <c r="Y116" s="52" t="s">
        <v>540</v>
      </c>
      <c r="Z116" s="52" t="s">
        <v>2081</v>
      </c>
      <c r="AA116" s="52" t="s">
        <v>2016</v>
      </c>
      <c r="AB116" s="52" t="s">
        <v>2228</v>
      </c>
      <c r="AC116" s="52" t="s">
        <v>2082</v>
      </c>
      <c r="AD116" s="52" t="s">
        <v>587</v>
      </c>
      <c r="AE116" s="52" t="s">
        <v>2672</v>
      </c>
      <c r="AF116" s="69">
        <v>31234.0</v>
      </c>
      <c r="AG116" s="52">
        <v>40.0</v>
      </c>
      <c r="AH116" s="52" t="s">
        <v>1526</v>
      </c>
      <c r="AI116" s="52" t="s">
        <v>2673</v>
      </c>
      <c r="AJ116" s="52" t="s">
        <v>2674</v>
      </c>
      <c r="AK116" s="52" t="s">
        <v>2022</v>
      </c>
      <c r="AL116" s="52" t="s">
        <v>1679</v>
      </c>
      <c r="AM116" s="52" t="s">
        <v>587</v>
      </c>
      <c r="AN116" s="52" t="s">
        <v>1679</v>
      </c>
      <c r="AO116" s="52" t="s">
        <v>1483</v>
      </c>
      <c r="AP116" s="52">
        <v>13325.0</v>
      </c>
      <c r="AQ116" s="52">
        <v>10325.0</v>
      </c>
      <c r="AR116" s="52" t="s">
        <v>228</v>
      </c>
      <c r="AS116" s="69">
        <v>45680.0</v>
      </c>
      <c r="AT116" s="69">
        <v>45784.0</v>
      </c>
      <c r="AU116" s="69">
        <v>45680.0</v>
      </c>
      <c r="AV116" s="69">
        <v>45784.0</v>
      </c>
      <c r="AW116" s="52" t="s">
        <v>1483</v>
      </c>
      <c r="AX116" s="52" t="s">
        <v>587</v>
      </c>
      <c r="AY116" s="52">
        <v>104.0</v>
      </c>
      <c r="AZ116" s="52" t="s">
        <v>2010</v>
      </c>
      <c r="BA116" s="73" t="s">
        <v>2675</v>
      </c>
      <c r="BB116" s="69">
        <v>45680.0</v>
      </c>
      <c r="BC116" s="52" t="s">
        <v>489</v>
      </c>
      <c r="BD116" s="70">
        <v>1.6079421E7</v>
      </c>
      <c r="BE116" s="52" t="s">
        <v>2605</v>
      </c>
      <c r="BF116" s="52" t="s">
        <v>453</v>
      </c>
      <c r="BG116" s="52" t="s">
        <v>2041</v>
      </c>
      <c r="BH116" s="52" t="s">
        <v>538</v>
      </c>
      <c r="BI116" s="52" t="s">
        <v>2027</v>
      </c>
      <c r="BK116" s="52" t="s">
        <v>2010</v>
      </c>
    </row>
    <row r="117">
      <c r="A117" s="52">
        <v>93.0</v>
      </c>
      <c r="B117" s="52" t="s">
        <v>543</v>
      </c>
      <c r="C117" s="52" t="s">
        <v>2005</v>
      </c>
      <c r="D117" s="52">
        <v>1.026299983E9</v>
      </c>
      <c r="E117" s="52" t="s">
        <v>1908</v>
      </c>
      <c r="F117" s="69">
        <v>45679.0</v>
      </c>
      <c r="G117" s="52" t="s">
        <v>545</v>
      </c>
      <c r="H117" s="52" t="s">
        <v>2008</v>
      </c>
      <c r="I117" s="52" t="s">
        <v>2008</v>
      </c>
      <c r="J117" s="52" t="s">
        <v>1470</v>
      </c>
      <c r="K117" s="52" t="s">
        <v>2098</v>
      </c>
      <c r="L117" s="52" t="s">
        <v>2010</v>
      </c>
      <c r="N117" s="52" t="s">
        <v>2010</v>
      </c>
      <c r="O117" s="69">
        <v>45678.0</v>
      </c>
      <c r="P117" s="52">
        <v>2.0251610005253E13</v>
      </c>
      <c r="Q117" s="52" t="s">
        <v>2098</v>
      </c>
      <c r="R117" s="69">
        <v>45678.0</v>
      </c>
      <c r="S117" s="52" t="s">
        <v>2676</v>
      </c>
      <c r="T117" s="52" t="s">
        <v>2013</v>
      </c>
      <c r="U117" s="52" t="s">
        <v>2677</v>
      </c>
      <c r="V117" s="52" t="s">
        <v>581</v>
      </c>
      <c r="W117" s="52" t="s">
        <v>1471</v>
      </c>
      <c r="X117" s="52" t="s">
        <v>583</v>
      </c>
      <c r="Y117" s="52" t="s">
        <v>544</v>
      </c>
      <c r="Z117" s="52" t="s">
        <v>2015</v>
      </c>
      <c r="AA117" s="52" t="s">
        <v>2016</v>
      </c>
      <c r="AB117" s="52" t="s">
        <v>2032</v>
      </c>
      <c r="AC117" s="52" t="s">
        <v>2033</v>
      </c>
      <c r="AD117" s="52" t="s">
        <v>587</v>
      </c>
      <c r="AE117" s="52" t="s">
        <v>2338</v>
      </c>
      <c r="AF117" s="70">
        <v>35715.0</v>
      </c>
      <c r="AG117" s="52">
        <v>28.0</v>
      </c>
      <c r="AH117" s="52" t="s">
        <v>1479</v>
      </c>
      <c r="AI117" s="52" t="s">
        <v>2678</v>
      </c>
      <c r="AJ117" s="52" t="s">
        <v>2679</v>
      </c>
      <c r="AK117" s="52" t="s">
        <v>2022</v>
      </c>
      <c r="AL117" s="52" t="s">
        <v>1681</v>
      </c>
      <c r="AM117" s="52" t="s">
        <v>587</v>
      </c>
      <c r="AN117" s="52" t="s">
        <v>1681</v>
      </c>
      <c r="AO117" s="52" t="s">
        <v>1483</v>
      </c>
      <c r="AP117" s="52">
        <v>14825.0</v>
      </c>
      <c r="AQ117" s="52">
        <v>10125.0</v>
      </c>
      <c r="AR117" s="52" t="s">
        <v>38</v>
      </c>
      <c r="AS117" s="69">
        <v>45681.0</v>
      </c>
      <c r="AT117" s="70">
        <v>46014.0</v>
      </c>
      <c r="AU117" s="69">
        <v>45681.0</v>
      </c>
      <c r="AV117" s="70">
        <v>46014.0</v>
      </c>
      <c r="AW117" s="52" t="s">
        <v>1483</v>
      </c>
      <c r="AX117" s="52" t="s">
        <v>587</v>
      </c>
      <c r="AY117" s="52">
        <v>333.0</v>
      </c>
      <c r="AZ117" s="52" t="s">
        <v>2010</v>
      </c>
      <c r="BA117" s="73" t="s">
        <v>2680</v>
      </c>
      <c r="BB117" s="69">
        <v>45681.0</v>
      </c>
      <c r="BC117" s="52" t="s">
        <v>546</v>
      </c>
      <c r="BD117" s="52">
        <v>1.016024615E9</v>
      </c>
      <c r="BE117" s="52" t="s">
        <v>2212</v>
      </c>
      <c r="BF117" s="52" t="s">
        <v>176</v>
      </c>
      <c r="BG117" s="52" t="s">
        <v>2041</v>
      </c>
      <c r="BH117" s="52" t="s">
        <v>542</v>
      </c>
      <c r="BI117" s="52" t="s">
        <v>2027</v>
      </c>
    </row>
    <row r="118">
      <c r="A118" s="52">
        <v>94.0</v>
      </c>
      <c r="B118" s="52" t="s">
        <v>548</v>
      </c>
      <c r="C118" s="52" t="s">
        <v>2005</v>
      </c>
      <c r="D118" s="52">
        <v>2.6203478E7</v>
      </c>
      <c r="E118" s="52" t="s">
        <v>1908</v>
      </c>
      <c r="F118" s="69">
        <v>45679.0</v>
      </c>
      <c r="G118" s="52" t="s">
        <v>1682</v>
      </c>
      <c r="H118" s="52" t="s">
        <v>2068</v>
      </c>
      <c r="I118" s="52" t="s">
        <v>2068</v>
      </c>
      <c r="J118" s="52" t="s">
        <v>1478</v>
      </c>
      <c r="K118" s="52" t="s">
        <v>2009</v>
      </c>
      <c r="L118" s="52" t="s">
        <v>2010</v>
      </c>
      <c r="N118" s="52" t="s">
        <v>2010</v>
      </c>
      <c r="O118" s="69">
        <v>45678.0</v>
      </c>
      <c r="P118" s="52">
        <v>2.0251900005273E13</v>
      </c>
      <c r="Q118" s="52" t="s">
        <v>2009</v>
      </c>
      <c r="R118" s="69">
        <v>45678.0</v>
      </c>
      <c r="S118" s="52" t="s">
        <v>2681</v>
      </c>
      <c r="T118" s="52" t="s">
        <v>2013</v>
      </c>
      <c r="U118" s="52" t="s">
        <v>2682</v>
      </c>
      <c r="V118" s="52" t="s">
        <v>581</v>
      </c>
      <c r="W118" s="52" t="s">
        <v>1471</v>
      </c>
      <c r="X118" s="52" t="s">
        <v>781</v>
      </c>
      <c r="Y118" s="52" t="s">
        <v>549</v>
      </c>
      <c r="Z118" s="52" t="s">
        <v>2015</v>
      </c>
      <c r="AA118" s="52" t="s">
        <v>2016</v>
      </c>
      <c r="AB118" s="52" t="s">
        <v>2228</v>
      </c>
      <c r="AC118" s="52" t="s">
        <v>2033</v>
      </c>
      <c r="AD118" s="52" t="s">
        <v>587</v>
      </c>
      <c r="AE118" s="52" t="s">
        <v>2683</v>
      </c>
      <c r="AF118" s="69">
        <v>30900.0</v>
      </c>
      <c r="AG118" s="52">
        <v>41.0</v>
      </c>
      <c r="AH118" s="52" t="s">
        <v>1625</v>
      </c>
      <c r="AI118" s="52" t="s">
        <v>2684</v>
      </c>
      <c r="AJ118" s="52" t="s">
        <v>2685</v>
      </c>
      <c r="AK118" s="52" t="s">
        <v>2022</v>
      </c>
      <c r="AL118" s="52" t="s">
        <v>1486</v>
      </c>
      <c r="AM118" s="52" t="s">
        <v>587</v>
      </c>
      <c r="AN118" s="52" t="s">
        <v>1486</v>
      </c>
      <c r="AO118" s="52" t="s">
        <v>1483</v>
      </c>
      <c r="AP118" s="52">
        <v>14625.0</v>
      </c>
      <c r="AQ118" s="52">
        <v>10225.0</v>
      </c>
      <c r="AR118" s="52" t="s">
        <v>367</v>
      </c>
      <c r="AS118" s="69">
        <v>45680.0</v>
      </c>
      <c r="AT118" s="70">
        <v>46013.0</v>
      </c>
      <c r="AU118" s="69">
        <v>45680.0</v>
      </c>
      <c r="AV118" s="70">
        <v>46013.0</v>
      </c>
      <c r="AW118" s="52" t="s">
        <v>1483</v>
      </c>
      <c r="AX118" s="52" t="s">
        <v>587</v>
      </c>
      <c r="AY118" s="52">
        <v>333.0</v>
      </c>
      <c r="AZ118" s="52" t="s">
        <v>2010</v>
      </c>
      <c r="BA118" s="73" t="s">
        <v>2686</v>
      </c>
      <c r="BB118" s="69">
        <v>45680.0</v>
      </c>
      <c r="BC118" s="52" t="s">
        <v>551</v>
      </c>
      <c r="BD118" s="69">
        <v>1.9312772E7</v>
      </c>
      <c r="BE118" s="52" t="s">
        <v>2687</v>
      </c>
      <c r="BF118" s="52" t="s">
        <v>552</v>
      </c>
      <c r="BG118" s="52" t="s">
        <v>2041</v>
      </c>
      <c r="BH118" s="52" t="s">
        <v>547</v>
      </c>
      <c r="BI118" s="52" t="s">
        <v>2027</v>
      </c>
    </row>
    <row r="119">
      <c r="A119" s="52">
        <v>95.0</v>
      </c>
      <c r="B119" s="52" t="s">
        <v>554</v>
      </c>
      <c r="C119" s="52" t="s">
        <v>2005</v>
      </c>
      <c r="D119" s="52">
        <v>1.07413537E9</v>
      </c>
      <c r="E119" s="52" t="s">
        <v>1908</v>
      </c>
      <c r="F119" s="69">
        <v>45679.0</v>
      </c>
      <c r="G119" s="52" t="s">
        <v>556</v>
      </c>
      <c r="H119" s="52" t="s">
        <v>2008</v>
      </c>
      <c r="I119" s="52" t="s">
        <v>2008</v>
      </c>
      <c r="J119" s="52" t="s">
        <v>1470</v>
      </c>
      <c r="K119" s="52" t="s">
        <v>2098</v>
      </c>
      <c r="L119" s="52" t="s">
        <v>2010</v>
      </c>
      <c r="N119" s="52" t="s">
        <v>2010</v>
      </c>
      <c r="O119" s="69">
        <v>45678.0</v>
      </c>
      <c r="P119" s="52">
        <v>2.0251610005393E13</v>
      </c>
      <c r="Q119" s="52" t="s">
        <v>2098</v>
      </c>
      <c r="R119" s="69">
        <v>45678.0</v>
      </c>
      <c r="S119" s="52" t="s">
        <v>2688</v>
      </c>
      <c r="T119" s="52" t="s">
        <v>2013</v>
      </c>
      <c r="U119" s="52" t="s">
        <v>2689</v>
      </c>
      <c r="V119" s="52" t="s">
        <v>581</v>
      </c>
      <c r="W119" s="52" t="s">
        <v>1471</v>
      </c>
      <c r="X119" s="52" t="s">
        <v>583</v>
      </c>
      <c r="Y119" s="52" t="s">
        <v>555</v>
      </c>
      <c r="Z119" s="52" t="s">
        <v>2015</v>
      </c>
      <c r="AA119" s="52" t="s">
        <v>2016</v>
      </c>
      <c r="AB119" s="52" t="s">
        <v>2032</v>
      </c>
      <c r="AC119" s="52" t="s">
        <v>2054</v>
      </c>
      <c r="AD119" s="52" t="s">
        <v>587</v>
      </c>
      <c r="AE119" s="52" t="s">
        <v>2690</v>
      </c>
      <c r="AF119" s="70">
        <v>35056.0</v>
      </c>
      <c r="AG119" s="52">
        <v>30.0</v>
      </c>
      <c r="AH119" s="52" t="s">
        <v>1683</v>
      </c>
      <c r="AI119" s="52" t="s">
        <v>2691</v>
      </c>
      <c r="AJ119" s="52" t="s">
        <v>2692</v>
      </c>
      <c r="AK119" s="52" t="s">
        <v>2022</v>
      </c>
      <c r="AL119" s="52" t="s">
        <v>1684</v>
      </c>
      <c r="AM119" s="52" t="s">
        <v>587</v>
      </c>
      <c r="AN119" s="52" t="s">
        <v>1684</v>
      </c>
      <c r="AO119" s="52" t="s">
        <v>1483</v>
      </c>
      <c r="AP119" s="52">
        <v>15425.0</v>
      </c>
      <c r="AQ119" s="52">
        <v>10725.0</v>
      </c>
      <c r="AR119" s="52" t="s">
        <v>91</v>
      </c>
      <c r="AS119" s="69">
        <v>45681.0</v>
      </c>
      <c r="AT119" s="70">
        <v>46014.0</v>
      </c>
      <c r="AU119" s="69">
        <v>45681.0</v>
      </c>
      <c r="AV119" s="70">
        <v>46014.0</v>
      </c>
      <c r="AW119" s="52" t="s">
        <v>1483</v>
      </c>
      <c r="AX119" s="52" t="s">
        <v>587</v>
      </c>
      <c r="AY119" s="52">
        <v>333.0</v>
      </c>
      <c r="AZ119" s="52" t="s">
        <v>2010</v>
      </c>
      <c r="BA119" s="73" t="s">
        <v>2693</v>
      </c>
      <c r="BB119" s="69">
        <v>45681.0</v>
      </c>
      <c r="BC119" s="52" t="s">
        <v>557</v>
      </c>
      <c r="BD119" s="52">
        <v>7.9954284E7</v>
      </c>
      <c r="BE119" s="52" t="s">
        <v>2694</v>
      </c>
      <c r="BF119" s="52" t="s">
        <v>165</v>
      </c>
      <c r="BG119" s="52" t="s">
        <v>2041</v>
      </c>
      <c r="BH119" s="52" t="s">
        <v>553</v>
      </c>
      <c r="BI119" s="52" t="s">
        <v>2027</v>
      </c>
    </row>
    <row r="120">
      <c r="A120" s="52">
        <v>96.0</v>
      </c>
      <c r="B120" s="52" t="s">
        <v>1685</v>
      </c>
      <c r="C120" s="52" t="s">
        <v>2005</v>
      </c>
      <c r="D120" s="52">
        <v>1.144099527E9</v>
      </c>
      <c r="E120" s="52" t="s">
        <v>1908</v>
      </c>
      <c r="F120" s="69">
        <v>45679.0</v>
      </c>
      <c r="G120" s="52" t="s">
        <v>1686</v>
      </c>
      <c r="H120" s="52" t="s">
        <v>2008</v>
      </c>
      <c r="I120" s="52" t="s">
        <v>2008</v>
      </c>
      <c r="J120" s="52" t="s">
        <v>1470</v>
      </c>
      <c r="K120" s="52" t="s">
        <v>2098</v>
      </c>
      <c r="L120" s="52" t="s">
        <v>2010</v>
      </c>
      <c r="N120" s="52" t="s">
        <v>2010</v>
      </c>
      <c r="O120" s="69">
        <v>45678.0</v>
      </c>
      <c r="P120" s="52">
        <v>2.0251610005423E13</v>
      </c>
      <c r="Q120" s="52" t="s">
        <v>2098</v>
      </c>
      <c r="R120" s="69">
        <v>45678.0</v>
      </c>
      <c r="S120" s="52" t="s">
        <v>2695</v>
      </c>
      <c r="T120" s="52" t="s">
        <v>2013</v>
      </c>
      <c r="U120" s="52" t="s">
        <v>2696</v>
      </c>
      <c r="V120" s="52" t="s">
        <v>581</v>
      </c>
      <c r="W120" s="52" t="s">
        <v>1471</v>
      </c>
      <c r="X120" s="52" t="s">
        <v>583</v>
      </c>
      <c r="Y120" s="52" t="s">
        <v>559</v>
      </c>
      <c r="Z120" s="52" t="s">
        <v>2081</v>
      </c>
      <c r="AA120" s="52" t="s">
        <v>2016</v>
      </c>
      <c r="AB120" s="52" t="s">
        <v>2228</v>
      </c>
      <c r="AC120" s="52" t="s">
        <v>2697</v>
      </c>
      <c r="AD120" s="52" t="s">
        <v>587</v>
      </c>
      <c r="AE120" s="52" t="s">
        <v>2252</v>
      </c>
      <c r="AF120" s="70">
        <v>35733.0</v>
      </c>
      <c r="AG120" s="52">
        <v>28.0</v>
      </c>
      <c r="AH120" s="52" t="s">
        <v>1687</v>
      </c>
      <c r="AI120" s="52" t="s">
        <v>2698</v>
      </c>
      <c r="AJ120" s="52" t="s">
        <v>2699</v>
      </c>
      <c r="AK120" s="52" t="s">
        <v>2022</v>
      </c>
      <c r="AL120" s="52" t="s">
        <v>1527</v>
      </c>
      <c r="AM120" s="52" t="s">
        <v>587</v>
      </c>
      <c r="AN120" s="52" t="s">
        <v>1527</v>
      </c>
      <c r="AO120" s="52" t="s">
        <v>1483</v>
      </c>
      <c r="AP120" s="52">
        <v>15025.0</v>
      </c>
      <c r="AQ120" s="52">
        <v>10825.0</v>
      </c>
      <c r="AR120" s="52" t="s">
        <v>91</v>
      </c>
      <c r="AS120" s="69">
        <v>45681.0</v>
      </c>
      <c r="AT120" s="70">
        <v>46014.0</v>
      </c>
      <c r="AU120" s="69">
        <v>45681.0</v>
      </c>
      <c r="AV120" s="70">
        <v>46014.0</v>
      </c>
      <c r="AW120" s="52" t="s">
        <v>1483</v>
      </c>
      <c r="AX120" s="52" t="s">
        <v>587</v>
      </c>
      <c r="AY120" s="52">
        <v>333.0</v>
      </c>
      <c r="AZ120" s="52" t="s">
        <v>2010</v>
      </c>
      <c r="BA120" s="73" t="s">
        <v>2700</v>
      </c>
      <c r="BB120" s="69">
        <v>45681.0</v>
      </c>
      <c r="BC120" s="52" t="s">
        <v>561</v>
      </c>
      <c r="BD120" s="52">
        <v>6.8297252E7</v>
      </c>
      <c r="BE120" s="52" t="s">
        <v>2142</v>
      </c>
      <c r="BF120" s="52" t="s">
        <v>165</v>
      </c>
      <c r="BG120" s="52" t="s">
        <v>2041</v>
      </c>
      <c r="BH120" s="52" t="s">
        <v>562</v>
      </c>
      <c r="BI120" s="52" t="s">
        <v>2027</v>
      </c>
    </row>
    <row r="121">
      <c r="A121" s="52">
        <v>97.0</v>
      </c>
      <c r="B121" s="52" t="s">
        <v>563</v>
      </c>
      <c r="C121" s="52" t="s">
        <v>2005</v>
      </c>
      <c r="D121" s="52">
        <v>1.100838461E9</v>
      </c>
      <c r="E121" s="52" t="s">
        <v>1908</v>
      </c>
      <c r="F121" s="69">
        <v>45679.0</v>
      </c>
      <c r="G121" s="52" t="s">
        <v>1688</v>
      </c>
      <c r="H121" s="52" t="s">
        <v>2008</v>
      </c>
      <c r="I121" s="52" t="s">
        <v>2008</v>
      </c>
      <c r="J121" s="52" t="s">
        <v>1470</v>
      </c>
      <c r="K121" s="52" t="s">
        <v>2098</v>
      </c>
      <c r="L121" s="52" t="s">
        <v>2010</v>
      </c>
      <c r="N121" s="52" t="s">
        <v>2010</v>
      </c>
      <c r="O121" s="69">
        <v>45678.0</v>
      </c>
      <c r="P121" s="52">
        <v>2.0251610005413E13</v>
      </c>
      <c r="Q121" s="52" t="s">
        <v>2098</v>
      </c>
      <c r="R121" s="69">
        <v>45678.0</v>
      </c>
      <c r="S121" s="52" t="s">
        <v>2701</v>
      </c>
      <c r="T121" s="52" t="s">
        <v>2013</v>
      </c>
      <c r="U121" s="52" t="s">
        <v>2702</v>
      </c>
      <c r="V121" s="52" t="s">
        <v>581</v>
      </c>
      <c r="W121" s="52" t="s">
        <v>1471</v>
      </c>
      <c r="X121" s="52" t="s">
        <v>583</v>
      </c>
      <c r="Y121" s="52" t="s">
        <v>287</v>
      </c>
      <c r="Z121" s="52" t="s">
        <v>2015</v>
      </c>
      <c r="AA121" s="52" t="s">
        <v>2016</v>
      </c>
      <c r="AB121" s="52" t="s">
        <v>2032</v>
      </c>
      <c r="AC121" s="52" t="s">
        <v>2033</v>
      </c>
      <c r="AD121" s="52" t="s">
        <v>587</v>
      </c>
      <c r="AE121" s="52" t="s">
        <v>2703</v>
      </c>
      <c r="AF121" s="69">
        <v>35962.0</v>
      </c>
      <c r="AG121" s="52">
        <v>27.0</v>
      </c>
      <c r="AH121" s="52" t="s">
        <v>1689</v>
      </c>
      <c r="AI121" s="52" t="s">
        <v>2704</v>
      </c>
      <c r="AJ121" s="52" t="s">
        <v>2705</v>
      </c>
      <c r="AK121" s="52" t="s">
        <v>2022</v>
      </c>
      <c r="AL121" s="52" t="s">
        <v>1564</v>
      </c>
      <c r="AM121" s="52" t="s">
        <v>587</v>
      </c>
      <c r="AN121" s="52" t="s">
        <v>1564</v>
      </c>
      <c r="AO121" s="52" t="s">
        <v>1483</v>
      </c>
      <c r="AP121" s="52">
        <v>15125.0</v>
      </c>
      <c r="AQ121" s="52">
        <v>10625.0</v>
      </c>
      <c r="AR121" s="52" t="s">
        <v>91</v>
      </c>
      <c r="AS121" s="69">
        <v>45681.0</v>
      </c>
      <c r="AT121" s="70">
        <v>46013.0</v>
      </c>
      <c r="AU121" s="69">
        <v>45681.0</v>
      </c>
      <c r="AV121" s="70">
        <v>46013.0</v>
      </c>
      <c r="AW121" s="52" t="s">
        <v>1483</v>
      </c>
      <c r="AX121" s="52" t="s">
        <v>587</v>
      </c>
      <c r="AY121" s="52">
        <v>332.0</v>
      </c>
      <c r="AZ121" s="52" t="s">
        <v>2010</v>
      </c>
      <c r="BA121" s="73" t="s">
        <v>2706</v>
      </c>
      <c r="BB121" s="69">
        <v>45681.0</v>
      </c>
      <c r="BC121" s="52" t="s">
        <v>557</v>
      </c>
      <c r="BD121" s="52">
        <v>7.9954284E7</v>
      </c>
      <c r="BE121" s="52" t="s">
        <v>2694</v>
      </c>
      <c r="BF121" s="52" t="s">
        <v>165</v>
      </c>
      <c r="BG121" s="52" t="s">
        <v>2041</v>
      </c>
      <c r="BH121" s="52" t="s">
        <v>547</v>
      </c>
      <c r="BI121" s="52" t="s">
        <v>2027</v>
      </c>
    </row>
    <row r="122">
      <c r="A122" s="52">
        <v>98.0</v>
      </c>
      <c r="B122" s="52" t="s">
        <v>565</v>
      </c>
      <c r="C122" s="52" t="s">
        <v>2005</v>
      </c>
      <c r="D122" s="52">
        <v>1.02235787E9</v>
      </c>
      <c r="E122" s="52" t="s">
        <v>1908</v>
      </c>
      <c r="F122" s="69">
        <v>45679.0</v>
      </c>
      <c r="G122" s="52" t="s">
        <v>1690</v>
      </c>
      <c r="H122" s="52" t="s">
        <v>2008</v>
      </c>
      <c r="I122" s="52" t="s">
        <v>2008</v>
      </c>
      <c r="J122" s="52" t="s">
        <v>1470</v>
      </c>
      <c r="K122" s="52" t="s">
        <v>2098</v>
      </c>
      <c r="L122" s="52" t="s">
        <v>2010</v>
      </c>
      <c r="N122" s="52" t="s">
        <v>2010</v>
      </c>
      <c r="O122" s="69">
        <v>45678.0</v>
      </c>
      <c r="P122" s="52">
        <v>2.0251610005433E13</v>
      </c>
      <c r="Q122" s="52" t="s">
        <v>2098</v>
      </c>
      <c r="R122" s="69">
        <v>45678.0</v>
      </c>
      <c r="S122" s="52" t="s">
        <v>2707</v>
      </c>
      <c r="T122" s="52" t="s">
        <v>2013</v>
      </c>
      <c r="U122" s="52" t="s">
        <v>2708</v>
      </c>
      <c r="V122" s="52" t="s">
        <v>581</v>
      </c>
      <c r="W122" s="52" t="s">
        <v>1471</v>
      </c>
      <c r="X122" s="52" t="s">
        <v>583</v>
      </c>
      <c r="Y122" s="52" t="s">
        <v>555</v>
      </c>
      <c r="Z122" s="52" t="s">
        <v>2015</v>
      </c>
      <c r="AA122" s="52" t="s">
        <v>2016</v>
      </c>
      <c r="AB122" s="52" t="s">
        <v>2032</v>
      </c>
      <c r="AC122" s="52" t="s">
        <v>2054</v>
      </c>
      <c r="AD122" s="52" t="s">
        <v>587</v>
      </c>
      <c r="AE122" s="52" t="s">
        <v>2709</v>
      </c>
      <c r="AF122" s="69">
        <v>32603.0</v>
      </c>
      <c r="AG122" s="52">
        <v>36.0</v>
      </c>
      <c r="AH122" s="52" t="s">
        <v>1526</v>
      </c>
      <c r="AI122" s="52" t="s">
        <v>2710</v>
      </c>
      <c r="AJ122" s="52" t="s">
        <v>2711</v>
      </c>
      <c r="AK122" s="52" t="s">
        <v>2022</v>
      </c>
      <c r="AL122" s="52" t="s">
        <v>1684</v>
      </c>
      <c r="AM122" s="52" t="s">
        <v>587</v>
      </c>
      <c r="AN122" s="52" t="s">
        <v>1684</v>
      </c>
      <c r="AO122" s="52" t="s">
        <v>1483</v>
      </c>
      <c r="AP122" s="52">
        <v>14925.0</v>
      </c>
      <c r="AQ122" s="52">
        <v>10925.0</v>
      </c>
      <c r="AR122" s="52" t="s">
        <v>91</v>
      </c>
      <c r="AS122" s="69">
        <v>45681.0</v>
      </c>
      <c r="AT122" s="70">
        <v>46014.0</v>
      </c>
      <c r="AU122" s="69">
        <v>45681.0</v>
      </c>
      <c r="AV122" s="70">
        <v>46014.0</v>
      </c>
      <c r="AW122" s="52" t="s">
        <v>1483</v>
      </c>
      <c r="AX122" s="52" t="s">
        <v>587</v>
      </c>
      <c r="AY122" s="52">
        <v>333.0</v>
      </c>
      <c r="AZ122" s="52" t="s">
        <v>2010</v>
      </c>
      <c r="BA122" s="73" t="s">
        <v>2712</v>
      </c>
      <c r="BB122" s="69">
        <v>45681.0</v>
      </c>
      <c r="BC122" s="52" t="s">
        <v>170</v>
      </c>
      <c r="BD122" s="69">
        <v>1.3923899E7</v>
      </c>
      <c r="BE122" s="52" t="s">
        <v>2206</v>
      </c>
      <c r="BF122" s="52" t="s">
        <v>165</v>
      </c>
      <c r="BG122" s="52" t="s">
        <v>2041</v>
      </c>
      <c r="BH122" s="52" t="s">
        <v>572</v>
      </c>
      <c r="BI122" s="52" t="s">
        <v>2027</v>
      </c>
    </row>
    <row r="123">
      <c r="A123" s="52">
        <v>99.0</v>
      </c>
      <c r="B123" s="52" t="s">
        <v>568</v>
      </c>
      <c r="C123" s="52" t="s">
        <v>2005</v>
      </c>
      <c r="D123" s="52">
        <v>7.9434157E7</v>
      </c>
      <c r="E123" s="52" t="s">
        <v>1908</v>
      </c>
      <c r="F123" s="69">
        <v>45680.0</v>
      </c>
      <c r="G123" s="52" t="s">
        <v>570</v>
      </c>
      <c r="H123" s="52" t="s">
        <v>2068</v>
      </c>
      <c r="I123" s="52" t="s">
        <v>2068</v>
      </c>
      <c r="J123" s="52" t="s">
        <v>1478</v>
      </c>
      <c r="K123" s="52" t="s">
        <v>2059</v>
      </c>
      <c r="L123" s="52" t="s">
        <v>2010</v>
      </c>
      <c r="N123" s="52" t="s">
        <v>2010</v>
      </c>
      <c r="O123" s="69">
        <v>45679.0</v>
      </c>
      <c r="P123" s="52">
        <v>2.0251900005693E13</v>
      </c>
      <c r="Q123" s="52" t="s">
        <v>2059</v>
      </c>
      <c r="R123" s="69">
        <v>45679.0</v>
      </c>
      <c r="S123" s="52" t="s">
        <v>2713</v>
      </c>
      <c r="T123" s="52" t="s">
        <v>2013</v>
      </c>
      <c r="U123" s="52" t="s">
        <v>2714</v>
      </c>
      <c r="V123" s="52" t="s">
        <v>581</v>
      </c>
      <c r="W123" s="52" t="s">
        <v>1471</v>
      </c>
      <c r="X123" s="52" t="s">
        <v>781</v>
      </c>
      <c r="Y123" s="52" t="s">
        <v>569</v>
      </c>
      <c r="Z123" s="52" t="s">
        <v>2081</v>
      </c>
      <c r="AA123" s="52" t="s">
        <v>2016</v>
      </c>
      <c r="AB123" s="52" t="s">
        <v>2032</v>
      </c>
      <c r="AC123" s="52" t="s">
        <v>2018</v>
      </c>
      <c r="AD123" s="52" t="s">
        <v>587</v>
      </c>
      <c r="AE123" s="52" t="s">
        <v>2338</v>
      </c>
      <c r="AF123" s="70">
        <v>24406.0</v>
      </c>
      <c r="AG123" s="52">
        <v>59.0</v>
      </c>
      <c r="AH123" s="52" t="s">
        <v>1691</v>
      </c>
      <c r="AI123" s="52" t="s">
        <v>2715</v>
      </c>
      <c r="AJ123" s="52" t="s">
        <v>2716</v>
      </c>
      <c r="AK123" s="52" t="s">
        <v>2022</v>
      </c>
      <c r="AL123" s="52" t="s">
        <v>1692</v>
      </c>
      <c r="AM123" s="52" t="s">
        <v>587</v>
      </c>
      <c r="AN123" s="52" t="s">
        <v>1692</v>
      </c>
      <c r="AO123" s="52" t="s">
        <v>1483</v>
      </c>
      <c r="AP123" s="52">
        <v>11225.0</v>
      </c>
      <c r="AQ123" s="52">
        <v>11525.0</v>
      </c>
      <c r="AR123" s="52" t="s">
        <v>67</v>
      </c>
      <c r="AS123" s="69">
        <v>45681.0</v>
      </c>
      <c r="AT123" s="70">
        <v>46022.0</v>
      </c>
      <c r="AU123" s="69">
        <v>45681.0</v>
      </c>
      <c r="AV123" s="70">
        <v>46022.0</v>
      </c>
      <c r="AW123" s="52" t="s">
        <v>1483</v>
      </c>
      <c r="AX123" s="52" t="s">
        <v>587</v>
      </c>
      <c r="AY123" s="52">
        <v>341.0</v>
      </c>
      <c r="AZ123" s="52" t="s">
        <v>2010</v>
      </c>
      <c r="BA123" s="73" t="s">
        <v>2717</v>
      </c>
    </row>
    <row r="124">
      <c r="B124" s="69">
        <v>45681.0</v>
      </c>
      <c r="C124" s="52" t="s">
        <v>571</v>
      </c>
      <c r="D124" s="52">
        <v>8.0813888E7</v>
      </c>
      <c r="E124" s="52" t="s">
        <v>2718</v>
      </c>
      <c r="F124" s="52" t="s">
        <v>552</v>
      </c>
      <c r="G124" s="52" t="s">
        <v>2041</v>
      </c>
      <c r="H124" s="52" t="s">
        <v>567</v>
      </c>
      <c r="I124" s="52" t="s">
        <v>2027</v>
      </c>
    </row>
    <row r="125">
      <c r="A125" s="52">
        <v>100.0</v>
      </c>
      <c r="B125" s="52" t="s">
        <v>573</v>
      </c>
      <c r="C125" s="52" t="s">
        <v>2005</v>
      </c>
      <c r="D125" s="52">
        <v>1.015393939E9</v>
      </c>
      <c r="E125" s="52" t="s">
        <v>1908</v>
      </c>
      <c r="F125" s="69">
        <v>45681.0</v>
      </c>
      <c r="G125" s="52" t="s">
        <v>1693</v>
      </c>
      <c r="H125" s="52" t="s">
        <v>2177</v>
      </c>
      <c r="I125" s="52" t="s">
        <v>2177</v>
      </c>
      <c r="J125" s="52" t="s">
        <v>1478</v>
      </c>
      <c r="K125" s="52" t="s">
        <v>2515</v>
      </c>
      <c r="L125" s="52" t="s">
        <v>2010</v>
      </c>
      <c r="N125" s="52" t="s">
        <v>2010</v>
      </c>
      <c r="O125" s="69">
        <v>45679.0</v>
      </c>
      <c r="P125" s="52">
        <v>2.0251700005683E13</v>
      </c>
      <c r="Q125" s="52" t="s">
        <v>2515</v>
      </c>
      <c r="R125" s="69">
        <v>45679.0</v>
      </c>
      <c r="S125" s="52" t="s">
        <v>2719</v>
      </c>
      <c r="T125" s="52" t="s">
        <v>2013</v>
      </c>
      <c r="U125" s="52" t="s">
        <v>2720</v>
      </c>
      <c r="V125" s="52" t="s">
        <v>581</v>
      </c>
      <c r="W125" s="52" t="s">
        <v>1471</v>
      </c>
      <c r="X125" s="52" t="s">
        <v>583</v>
      </c>
      <c r="Y125" s="52" t="s">
        <v>1694</v>
      </c>
      <c r="Z125" s="52" t="s">
        <v>2015</v>
      </c>
      <c r="AA125" s="52" t="s">
        <v>2016</v>
      </c>
      <c r="AB125" s="52" t="s">
        <v>2228</v>
      </c>
      <c r="AC125" s="52" t="s">
        <v>2033</v>
      </c>
      <c r="AD125" s="52" t="s">
        <v>587</v>
      </c>
      <c r="AE125" s="52" t="s">
        <v>2093</v>
      </c>
      <c r="AF125" s="69">
        <v>31548.0</v>
      </c>
      <c r="AG125" s="52">
        <v>39.0</v>
      </c>
      <c r="AH125" s="52" t="s">
        <v>1573</v>
      </c>
      <c r="AI125" s="52" t="s">
        <v>2721</v>
      </c>
      <c r="AJ125" s="52" t="s">
        <v>2722</v>
      </c>
      <c r="AK125" s="52" t="s">
        <v>2022</v>
      </c>
      <c r="AL125" s="52" t="s">
        <v>1695</v>
      </c>
      <c r="AM125" s="52" t="s">
        <v>1601</v>
      </c>
      <c r="AN125" s="52" t="s">
        <v>1696</v>
      </c>
      <c r="AO125" s="52" t="s">
        <v>1483</v>
      </c>
      <c r="AP125" s="52">
        <v>11525.0</v>
      </c>
      <c r="AQ125" s="52">
        <v>11825.0</v>
      </c>
      <c r="AR125" s="52" t="s">
        <v>384</v>
      </c>
      <c r="AS125" s="69">
        <v>45682.0</v>
      </c>
      <c r="AT125" s="70">
        <v>46022.0</v>
      </c>
      <c r="AU125" s="69">
        <v>45684.0</v>
      </c>
      <c r="AV125" s="70">
        <v>46022.0</v>
      </c>
      <c r="AW125" s="52" t="s">
        <v>1483</v>
      </c>
      <c r="AX125" s="52" t="s">
        <v>587</v>
      </c>
      <c r="AY125" s="52">
        <v>338.0</v>
      </c>
      <c r="AZ125" s="52" t="s">
        <v>2010</v>
      </c>
      <c r="BA125" s="73" t="s">
        <v>2723</v>
      </c>
      <c r="BB125" s="69">
        <v>45684.0</v>
      </c>
      <c r="BG125" s="52" t="s">
        <v>2041</v>
      </c>
      <c r="BH125" s="52" t="s">
        <v>2724</v>
      </c>
      <c r="BI125" s="52" t="s">
        <v>2027</v>
      </c>
    </row>
    <row r="126">
      <c r="A126" s="52">
        <v>101.0</v>
      </c>
      <c r="B126" s="52" t="s">
        <v>578</v>
      </c>
      <c r="C126" s="52" t="s">
        <v>2005</v>
      </c>
      <c r="D126" s="52">
        <v>1.085897401E9</v>
      </c>
      <c r="E126" s="52" t="s">
        <v>1908</v>
      </c>
      <c r="F126" s="69">
        <v>45680.0</v>
      </c>
      <c r="G126" s="52" t="s">
        <v>1697</v>
      </c>
      <c r="H126" s="52" t="s">
        <v>2446</v>
      </c>
      <c r="I126" s="52" t="s">
        <v>2068</v>
      </c>
      <c r="J126" s="52" t="s">
        <v>1478</v>
      </c>
      <c r="K126" s="52" t="s">
        <v>2059</v>
      </c>
      <c r="L126" s="52" t="s">
        <v>2010</v>
      </c>
      <c r="N126" s="52" t="s">
        <v>2010</v>
      </c>
      <c r="O126" s="69">
        <v>45679.0</v>
      </c>
      <c r="P126" s="52">
        <v>2.0251900005653E13</v>
      </c>
      <c r="Q126" s="52" t="s">
        <v>2059</v>
      </c>
      <c r="R126" s="69">
        <v>45679.0</v>
      </c>
      <c r="S126" s="52" t="s">
        <v>2725</v>
      </c>
      <c r="T126" s="52" t="s">
        <v>2013</v>
      </c>
      <c r="U126" s="52" t="s">
        <v>2726</v>
      </c>
      <c r="V126" s="52" t="s">
        <v>581</v>
      </c>
      <c r="W126" s="52" t="s">
        <v>1471</v>
      </c>
      <c r="X126" s="52" t="s">
        <v>583</v>
      </c>
      <c r="Y126" s="52" t="s">
        <v>579</v>
      </c>
      <c r="Z126" s="52" t="s">
        <v>2081</v>
      </c>
      <c r="AA126" s="52" t="s">
        <v>2016</v>
      </c>
      <c r="AB126" s="52" t="s">
        <v>2032</v>
      </c>
      <c r="AC126" s="52" t="s">
        <v>2033</v>
      </c>
      <c r="AD126" s="52" t="s">
        <v>587</v>
      </c>
      <c r="AE126" s="52" t="s">
        <v>2260</v>
      </c>
      <c r="AF126" s="70">
        <v>31341.0</v>
      </c>
      <c r="AG126" s="52">
        <v>40.0</v>
      </c>
      <c r="AH126" s="52" t="s">
        <v>1538</v>
      </c>
      <c r="AI126" s="52" t="s">
        <v>2727</v>
      </c>
      <c r="AJ126" s="52" t="s">
        <v>2728</v>
      </c>
      <c r="AK126" s="52" t="s">
        <v>2022</v>
      </c>
      <c r="AL126" s="52" t="s">
        <v>1699</v>
      </c>
      <c r="AM126" s="52" t="s">
        <v>587</v>
      </c>
      <c r="AN126" s="52" t="s">
        <v>1699</v>
      </c>
      <c r="AO126" s="52" t="s">
        <v>1483</v>
      </c>
      <c r="AP126" s="52">
        <v>14325.0</v>
      </c>
      <c r="AQ126" s="52">
        <v>11225.0</v>
      </c>
      <c r="AR126" s="52" t="s">
        <v>374</v>
      </c>
      <c r="AS126" s="69">
        <v>45681.0</v>
      </c>
      <c r="AT126" s="70">
        <v>46022.0</v>
      </c>
      <c r="AU126" s="69">
        <v>45681.0</v>
      </c>
      <c r="AV126" s="70">
        <v>46022.0</v>
      </c>
      <c r="AW126" s="52" t="s">
        <v>1483</v>
      </c>
      <c r="AX126" s="52" t="s">
        <v>587</v>
      </c>
      <c r="AY126" s="52">
        <v>341.0</v>
      </c>
      <c r="AZ126" s="52" t="s">
        <v>2010</v>
      </c>
      <c r="BA126" s="73" t="s">
        <v>2729</v>
      </c>
      <c r="BB126" s="69">
        <v>45681.0</v>
      </c>
      <c r="BC126" s="52" t="s">
        <v>375</v>
      </c>
      <c r="BD126" s="52">
        <v>1.01842287E9</v>
      </c>
      <c r="BE126" s="52" t="s">
        <v>2453</v>
      </c>
      <c r="BF126" s="52" t="s">
        <v>193</v>
      </c>
      <c r="BG126" s="52" t="s">
        <v>2041</v>
      </c>
      <c r="BH126" s="52" t="s">
        <v>2730</v>
      </c>
      <c r="BI126" s="52" t="s">
        <v>2027</v>
      </c>
    </row>
    <row r="127">
      <c r="A127" s="52">
        <v>102.0</v>
      </c>
      <c r="B127" s="52" t="s">
        <v>584</v>
      </c>
      <c r="C127" s="52" t="s">
        <v>2005</v>
      </c>
      <c r="D127" s="52">
        <v>8.0724862E7</v>
      </c>
      <c r="E127" s="52" t="s">
        <v>1908</v>
      </c>
      <c r="F127" s="69">
        <v>45681.0</v>
      </c>
      <c r="G127" s="52" t="s">
        <v>586</v>
      </c>
      <c r="H127" s="52" t="s">
        <v>2177</v>
      </c>
      <c r="I127" s="52" t="s">
        <v>2177</v>
      </c>
      <c r="J127" s="52" t="s">
        <v>1478</v>
      </c>
      <c r="K127" s="52" t="s">
        <v>2515</v>
      </c>
      <c r="L127" s="52" t="s">
        <v>2010</v>
      </c>
      <c r="N127" s="52" t="s">
        <v>2010</v>
      </c>
      <c r="O127" s="69">
        <v>45679.0</v>
      </c>
      <c r="P127" s="52">
        <v>2.0251700005533E13</v>
      </c>
      <c r="Q127" s="52" t="s">
        <v>2515</v>
      </c>
      <c r="R127" s="69">
        <v>45679.0</v>
      </c>
      <c r="S127" s="52" t="s">
        <v>2731</v>
      </c>
      <c r="T127" s="52" t="s">
        <v>2013</v>
      </c>
      <c r="U127" s="52" t="s">
        <v>2732</v>
      </c>
      <c r="V127" s="52" t="s">
        <v>581</v>
      </c>
      <c r="W127" s="52" t="s">
        <v>1471</v>
      </c>
      <c r="X127" s="52" t="s">
        <v>583</v>
      </c>
      <c r="Y127" s="52" t="s">
        <v>585</v>
      </c>
      <c r="Z127" s="52" t="s">
        <v>2081</v>
      </c>
      <c r="AA127" s="52" t="s">
        <v>2016</v>
      </c>
      <c r="AB127" s="52" t="s">
        <v>2032</v>
      </c>
      <c r="AC127" s="52" t="s">
        <v>2033</v>
      </c>
      <c r="AD127" s="52" t="s">
        <v>587</v>
      </c>
      <c r="AE127" s="52" t="s">
        <v>2093</v>
      </c>
      <c r="AF127" s="69">
        <v>30120.0</v>
      </c>
      <c r="AG127" s="52">
        <v>43.0</v>
      </c>
      <c r="AH127" s="52" t="s">
        <v>1573</v>
      </c>
      <c r="AI127" s="52" t="s">
        <v>2733</v>
      </c>
      <c r="AJ127" s="52" t="s">
        <v>2734</v>
      </c>
      <c r="AK127" s="52" t="s">
        <v>2022</v>
      </c>
      <c r="AL127" s="52" t="s">
        <v>1695</v>
      </c>
      <c r="AM127" s="52" t="s">
        <v>1601</v>
      </c>
      <c r="AN127" s="52" t="s">
        <v>1696</v>
      </c>
      <c r="AO127" s="52" t="s">
        <v>1483</v>
      </c>
      <c r="AP127" s="52">
        <v>11425.0</v>
      </c>
      <c r="AQ127" s="52">
        <v>11925.0</v>
      </c>
      <c r="AR127" s="52" t="s">
        <v>384</v>
      </c>
      <c r="AS127" s="69">
        <v>45682.0</v>
      </c>
      <c r="AT127" s="70">
        <v>46022.0</v>
      </c>
      <c r="AU127" s="69">
        <v>45684.0</v>
      </c>
      <c r="AV127" s="70">
        <v>46022.0</v>
      </c>
      <c r="AW127" s="52" t="s">
        <v>1483</v>
      </c>
      <c r="AX127" s="52" t="s">
        <v>587</v>
      </c>
      <c r="AY127" s="52">
        <v>338.0</v>
      </c>
      <c r="AZ127" s="52" t="s">
        <v>2010</v>
      </c>
      <c r="BA127" s="73" t="s">
        <v>2735</v>
      </c>
      <c r="BB127" s="69">
        <v>45684.0</v>
      </c>
      <c r="BC127" s="52" t="s">
        <v>588</v>
      </c>
      <c r="BD127" s="52">
        <v>5.2080067E7</v>
      </c>
      <c r="BE127" s="52" t="s">
        <v>2736</v>
      </c>
      <c r="BF127" s="52" t="s">
        <v>154</v>
      </c>
      <c r="BG127" s="52" t="s">
        <v>2041</v>
      </c>
      <c r="BH127" s="52" t="s">
        <v>2737</v>
      </c>
      <c r="BI127" s="52" t="s">
        <v>2027</v>
      </c>
    </row>
    <row r="128">
      <c r="A128" s="52">
        <v>103.0</v>
      </c>
      <c r="B128" s="52" t="s">
        <v>590</v>
      </c>
      <c r="C128" s="52" t="s">
        <v>2005</v>
      </c>
      <c r="D128" s="52">
        <v>8.0797794E7</v>
      </c>
      <c r="E128" s="52" t="s">
        <v>1908</v>
      </c>
      <c r="F128" s="69">
        <v>45681.0</v>
      </c>
      <c r="G128" s="52" t="s">
        <v>592</v>
      </c>
      <c r="H128" s="52" t="s">
        <v>2299</v>
      </c>
      <c r="I128" s="52" t="s">
        <v>2299</v>
      </c>
      <c r="J128" s="52" t="s">
        <v>1478</v>
      </c>
      <c r="K128" s="52" t="s">
        <v>2069</v>
      </c>
      <c r="L128" s="52" t="s">
        <v>2010</v>
      </c>
      <c r="N128" s="52" t="s">
        <v>2010</v>
      </c>
      <c r="O128" s="69">
        <v>45679.0</v>
      </c>
      <c r="P128" s="52">
        <v>2.0251300005713E13</v>
      </c>
      <c r="Q128" s="52" t="s">
        <v>2069</v>
      </c>
      <c r="R128" s="69">
        <v>45679.0</v>
      </c>
      <c r="S128" s="52" t="s">
        <v>2738</v>
      </c>
      <c r="T128" s="52" t="s">
        <v>2013</v>
      </c>
      <c r="U128" s="52" t="s">
        <v>2739</v>
      </c>
      <c r="V128" s="52" t="s">
        <v>581</v>
      </c>
      <c r="W128" s="52" t="s">
        <v>1471</v>
      </c>
      <c r="X128" s="52" t="s">
        <v>583</v>
      </c>
      <c r="Y128" s="52" t="s">
        <v>591</v>
      </c>
      <c r="Z128" s="52" t="s">
        <v>2081</v>
      </c>
      <c r="AA128" s="52" t="s">
        <v>2054</v>
      </c>
      <c r="AB128" s="52" t="s">
        <v>2032</v>
      </c>
      <c r="AC128" s="52" t="s">
        <v>2018</v>
      </c>
      <c r="AD128" s="52" t="s">
        <v>587</v>
      </c>
      <c r="AE128" s="52" t="s">
        <v>2093</v>
      </c>
      <c r="AF128" s="69">
        <v>31227.0</v>
      </c>
      <c r="AG128" s="52">
        <v>40.0</v>
      </c>
      <c r="AH128" s="52" t="s">
        <v>1584</v>
      </c>
      <c r="AI128" s="52" t="s">
        <v>2740</v>
      </c>
      <c r="AJ128" s="52" t="s">
        <v>2741</v>
      </c>
      <c r="AK128" s="52" t="s">
        <v>2022</v>
      </c>
      <c r="AL128" s="52" t="s">
        <v>1700</v>
      </c>
      <c r="AM128" s="52" t="s">
        <v>587</v>
      </c>
      <c r="AN128" s="52" t="s">
        <v>1700</v>
      </c>
      <c r="AO128" s="52" t="s">
        <v>1483</v>
      </c>
      <c r="AP128" s="52">
        <v>11125.0</v>
      </c>
      <c r="AQ128" s="52">
        <v>12125.0</v>
      </c>
      <c r="AR128" s="52" t="s">
        <v>62</v>
      </c>
      <c r="AS128" s="69">
        <v>45684.0</v>
      </c>
      <c r="AT128" s="70">
        <v>45987.0</v>
      </c>
      <c r="AU128" s="69">
        <v>45684.0</v>
      </c>
      <c r="AV128" s="70">
        <v>45987.0</v>
      </c>
      <c r="AW128" s="52" t="s">
        <v>1483</v>
      </c>
      <c r="AX128" s="52" t="s">
        <v>587</v>
      </c>
      <c r="AY128" s="52">
        <v>303.0</v>
      </c>
      <c r="AZ128" s="52" t="s">
        <v>2010</v>
      </c>
      <c r="BA128" s="73" t="s">
        <v>2742</v>
      </c>
      <c r="BB128" s="69">
        <v>45684.0</v>
      </c>
      <c r="BC128" s="52" t="s">
        <v>593</v>
      </c>
      <c r="BD128" s="52">
        <v>5.2813326E7</v>
      </c>
      <c r="BE128" s="52" t="s">
        <v>2743</v>
      </c>
      <c r="BF128" s="52" t="s">
        <v>263</v>
      </c>
      <c r="BG128" s="52" t="s">
        <v>2041</v>
      </c>
      <c r="BH128" s="52" t="s">
        <v>615</v>
      </c>
      <c r="BI128" s="52" t="s">
        <v>2027</v>
      </c>
    </row>
    <row r="129">
      <c r="A129" s="52">
        <v>104.0</v>
      </c>
      <c r="B129" s="52" t="s">
        <v>595</v>
      </c>
      <c r="C129" s="52" t="s">
        <v>2005</v>
      </c>
      <c r="D129" s="52">
        <v>5.312276E7</v>
      </c>
      <c r="E129" s="52" t="s">
        <v>1908</v>
      </c>
      <c r="F129" s="69">
        <v>45684.0</v>
      </c>
      <c r="G129" s="52" t="s">
        <v>597</v>
      </c>
      <c r="H129" s="52" t="s">
        <v>2299</v>
      </c>
      <c r="I129" s="52" t="s">
        <v>2299</v>
      </c>
      <c r="J129" s="52" t="s">
        <v>1478</v>
      </c>
      <c r="K129" s="52" t="s">
        <v>2069</v>
      </c>
      <c r="L129" s="52" t="s">
        <v>2010</v>
      </c>
      <c r="N129" s="52" t="s">
        <v>2010</v>
      </c>
      <c r="O129" s="69">
        <v>45679.0</v>
      </c>
      <c r="P129" s="52">
        <v>2.0251300005703E13</v>
      </c>
      <c r="Q129" s="52" t="s">
        <v>2069</v>
      </c>
      <c r="R129" s="69">
        <v>45679.0</v>
      </c>
      <c r="S129" s="52" t="s">
        <v>2744</v>
      </c>
      <c r="T129" s="52" t="s">
        <v>2013</v>
      </c>
      <c r="U129" s="52" t="s">
        <v>2745</v>
      </c>
      <c r="V129" s="52" t="s">
        <v>581</v>
      </c>
      <c r="W129" s="52" t="s">
        <v>1471</v>
      </c>
      <c r="X129" s="52" t="s">
        <v>583</v>
      </c>
      <c r="Y129" s="52" t="s">
        <v>596</v>
      </c>
      <c r="Z129" s="52" t="s">
        <v>2015</v>
      </c>
      <c r="AA129" s="52" t="s">
        <v>2016</v>
      </c>
      <c r="AB129" s="52" t="s">
        <v>2062</v>
      </c>
      <c r="AC129" s="52" t="s">
        <v>2054</v>
      </c>
      <c r="AD129" s="52" t="s">
        <v>587</v>
      </c>
      <c r="AE129" s="52" t="s">
        <v>2093</v>
      </c>
      <c r="AF129" s="69">
        <v>30007.0</v>
      </c>
      <c r="AG129" s="52">
        <v>43.0</v>
      </c>
      <c r="AH129" s="52" t="s">
        <v>1701</v>
      </c>
      <c r="AI129" s="52" t="s">
        <v>2746</v>
      </c>
      <c r="AJ129" s="52" t="s">
        <v>2747</v>
      </c>
      <c r="AK129" s="52" t="s">
        <v>2022</v>
      </c>
      <c r="AL129" s="52" t="s">
        <v>1702</v>
      </c>
      <c r="AM129" s="52" t="s">
        <v>587</v>
      </c>
      <c r="AN129" s="52" t="s">
        <v>1702</v>
      </c>
      <c r="AO129" s="52" t="s">
        <v>1483</v>
      </c>
      <c r="AP129" s="52">
        <v>10825.0</v>
      </c>
      <c r="AQ129" s="52">
        <v>12625.0</v>
      </c>
      <c r="AR129" s="52" t="s">
        <v>62</v>
      </c>
      <c r="AS129" s="69">
        <v>45685.0</v>
      </c>
      <c r="AT129" s="70">
        <v>45988.0</v>
      </c>
      <c r="AU129" s="69">
        <v>45685.0</v>
      </c>
      <c r="AV129" s="70">
        <v>45988.0</v>
      </c>
      <c r="AW129" s="52" t="s">
        <v>1483</v>
      </c>
      <c r="AX129" s="52" t="s">
        <v>587</v>
      </c>
      <c r="AY129" s="52">
        <v>303.0</v>
      </c>
      <c r="AZ129" s="52" t="s">
        <v>2010</v>
      </c>
      <c r="BA129" s="73" t="s">
        <v>2748</v>
      </c>
      <c r="BB129" s="69">
        <v>45685.0</v>
      </c>
      <c r="BC129" s="52" t="s">
        <v>192</v>
      </c>
      <c r="BD129" s="52">
        <v>7.9522477E7</v>
      </c>
      <c r="BE129" s="52" t="s">
        <v>2306</v>
      </c>
      <c r="BF129" s="52" t="s">
        <v>263</v>
      </c>
      <c r="BG129" s="52" t="s">
        <v>2041</v>
      </c>
      <c r="BH129" s="52" t="s">
        <v>2749</v>
      </c>
      <c r="BI129" s="52" t="s">
        <v>2027</v>
      </c>
    </row>
    <row r="130">
      <c r="A130" s="52">
        <v>105.0</v>
      </c>
      <c r="B130" s="52" t="s">
        <v>599</v>
      </c>
      <c r="C130" s="52" t="s">
        <v>2005</v>
      </c>
      <c r="D130" s="52">
        <v>8.005725E7</v>
      </c>
      <c r="E130" s="52" t="s">
        <v>1908</v>
      </c>
      <c r="F130" s="69">
        <v>45681.0</v>
      </c>
      <c r="G130" s="52" t="s">
        <v>601</v>
      </c>
      <c r="H130" s="52" t="s">
        <v>2257</v>
      </c>
      <c r="I130" s="52" t="s">
        <v>2257</v>
      </c>
      <c r="J130" s="52" t="s">
        <v>1478</v>
      </c>
      <c r="K130" s="52" t="s">
        <v>2059</v>
      </c>
      <c r="L130" s="52" t="s">
        <v>2010</v>
      </c>
      <c r="N130" s="52" t="s">
        <v>2010</v>
      </c>
      <c r="O130" s="69">
        <v>45679.0</v>
      </c>
      <c r="P130" s="52">
        <v>2.0251800005803E13</v>
      </c>
      <c r="Q130" s="52" t="s">
        <v>2059</v>
      </c>
      <c r="R130" s="69">
        <v>45680.0</v>
      </c>
      <c r="S130" s="52" t="s">
        <v>2750</v>
      </c>
      <c r="T130" s="52" t="s">
        <v>2013</v>
      </c>
      <c r="U130" s="52" t="s">
        <v>2751</v>
      </c>
      <c r="V130" s="52" t="s">
        <v>581</v>
      </c>
      <c r="W130" s="52" t="s">
        <v>1471</v>
      </c>
      <c r="X130" s="52" t="s">
        <v>583</v>
      </c>
      <c r="Y130" s="52" t="s">
        <v>600</v>
      </c>
      <c r="Z130" s="52" t="s">
        <v>2081</v>
      </c>
      <c r="AA130" s="52" t="s">
        <v>2054</v>
      </c>
      <c r="AB130" s="52" t="s">
        <v>2062</v>
      </c>
      <c r="AC130" s="52" t="s">
        <v>2063</v>
      </c>
      <c r="AD130" s="52" t="s">
        <v>587</v>
      </c>
      <c r="AE130" s="52" t="s">
        <v>2093</v>
      </c>
      <c r="AF130" s="69">
        <v>33004.0</v>
      </c>
      <c r="AG130" s="52">
        <v>35.0</v>
      </c>
      <c r="AH130" s="52" t="s">
        <v>1526</v>
      </c>
      <c r="AI130" s="52" t="s">
        <v>2752</v>
      </c>
      <c r="AJ130" s="52" t="s">
        <v>2753</v>
      </c>
      <c r="AK130" s="52" t="s">
        <v>2022</v>
      </c>
      <c r="AL130" s="52" t="s">
        <v>1635</v>
      </c>
      <c r="AM130" s="52" t="s">
        <v>587</v>
      </c>
      <c r="AN130" s="52" t="s">
        <v>1635</v>
      </c>
      <c r="AO130" s="52" t="s">
        <v>1483</v>
      </c>
      <c r="AP130" s="52">
        <v>13025.0</v>
      </c>
      <c r="AQ130" s="52">
        <v>12225.0</v>
      </c>
      <c r="AR130" s="52" t="s">
        <v>228</v>
      </c>
      <c r="AS130" s="69">
        <v>45684.0</v>
      </c>
      <c r="AT130" s="69">
        <v>45788.0</v>
      </c>
      <c r="AU130" s="69">
        <v>45684.0</v>
      </c>
      <c r="AV130" s="69">
        <v>45788.0</v>
      </c>
      <c r="AW130" s="52" t="s">
        <v>1483</v>
      </c>
      <c r="AX130" s="52" t="s">
        <v>587</v>
      </c>
      <c r="AY130" s="52">
        <v>104.0</v>
      </c>
      <c r="AZ130" s="52" t="s">
        <v>2010</v>
      </c>
      <c r="BA130" s="73" t="s">
        <v>2754</v>
      </c>
      <c r="BB130" s="69">
        <v>45684.0</v>
      </c>
      <c r="BC130" s="52" t="s">
        <v>489</v>
      </c>
      <c r="BD130" s="70">
        <v>1.6079421E7</v>
      </c>
      <c r="BE130" s="52" t="s">
        <v>2605</v>
      </c>
      <c r="BF130" s="52" t="s">
        <v>453</v>
      </c>
      <c r="BG130" s="52" t="s">
        <v>2041</v>
      </c>
      <c r="BH130" s="52" t="s">
        <v>2755</v>
      </c>
      <c r="BI130" s="52" t="s">
        <v>2027</v>
      </c>
    </row>
    <row r="131">
      <c r="A131" s="52">
        <v>106.0</v>
      </c>
      <c r="B131" s="52" t="s">
        <v>603</v>
      </c>
      <c r="C131" s="52" t="s">
        <v>2005</v>
      </c>
      <c r="D131" s="52">
        <v>1.095809712E9</v>
      </c>
      <c r="E131" s="52" t="s">
        <v>1908</v>
      </c>
      <c r="F131" s="69">
        <v>45681.0</v>
      </c>
      <c r="G131" s="52" t="s">
        <v>2756</v>
      </c>
      <c r="H131" s="52" t="s">
        <v>2291</v>
      </c>
      <c r="I131" s="52" t="s">
        <v>2008</v>
      </c>
      <c r="J131" s="52" t="s">
        <v>1470</v>
      </c>
      <c r="K131" s="52" t="s">
        <v>2612</v>
      </c>
      <c r="L131" s="52" t="s">
        <v>2010</v>
      </c>
      <c r="N131" s="52" t="s">
        <v>2010</v>
      </c>
      <c r="O131" s="69">
        <v>45679.0</v>
      </c>
      <c r="P131" s="52">
        <v>2.0251020005773E13</v>
      </c>
      <c r="Q131" s="52" t="s">
        <v>2612</v>
      </c>
      <c r="R131" s="69">
        <v>45680.0</v>
      </c>
      <c r="S131" s="52" t="s">
        <v>2757</v>
      </c>
      <c r="T131" s="52" t="s">
        <v>2013</v>
      </c>
      <c r="U131" s="52" t="s">
        <v>2758</v>
      </c>
      <c r="V131" s="52" t="s">
        <v>581</v>
      </c>
      <c r="W131" s="52" t="s">
        <v>1471</v>
      </c>
      <c r="X131" s="52" t="s">
        <v>583</v>
      </c>
      <c r="Y131" s="52" t="s">
        <v>604</v>
      </c>
      <c r="Z131" s="52" t="s">
        <v>2015</v>
      </c>
      <c r="AA131" s="52" t="s">
        <v>2016</v>
      </c>
      <c r="AB131" s="52" t="s">
        <v>2017</v>
      </c>
      <c r="AC131" s="52" t="s">
        <v>2033</v>
      </c>
      <c r="AD131" s="52" t="s">
        <v>587</v>
      </c>
      <c r="AE131" s="52" t="s">
        <v>2759</v>
      </c>
      <c r="AF131" s="69">
        <v>33449.0</v>
      </c>
      <c r="AG131" s="52">
        <v>34.0</v>
      </c>
      <c r="AH131" s="52" t="s">
        <v>1479</v>
      </c>
      <c r="AI131" s="52" t="s">
        <v>2760</v>
      </c>
      <c r="AJ131" s="52" t="s">
        <v>2761</v>
      </c>
      <c r="AK131" s="52" t="s">
        <v>2022</v>
      </c>
      <c r="AL131" s="52" t="s">
        <v>1706</v>
      </c>
      <c r="AM131" s="52" t="s">
        <v>587</v>
      </c>
      <c r="AN131" s="52" t="s">
        <v>1706</v>
      </c>
      <c r="AO131" s="52" t="s">
        <v>1483</v>
      </c>
      <c r="AP131" s="52">
        <v>12625.0</v>
      </c>
      <c r="AQ131" s="52">
        <v>12325.0</v>
      </c>
      <c r="AR131" s="52" t="s">
        <v>38</v>
      </c>
      <c r="AS131" s="69">
        <v>45684.0</v>
      </c>
      <c r="AT131" s="70">
        <v>45987.0</v>
      </c>
      <c r="AU131" s="69">
        <v>45684.0</v>
      </c>
      <c r="AV131" s="70">
        <v>45987.0</v>
      </c>
      <c r="AW131" s="52" t="s">
        <v>1483</v>
      </c>
      <c r="AX131" s="52" t="s">
        <v>587</v>
      </c>
      <c r="AY131" s="52">
        <v>303.0</v>
      </c>
      <c r="AZ131" s="52" t="s">
        <v>2010</v>
      </c>
      <c r="BA131" s="73" t="s">
        <v>2762</v>
      </c>
    </row>
    <row r="132">
      <c r="B132" s="69">
        <v>45684.0</v>
      </c>
      <c r="C132" s="52" t="s">
        <v>607</v>
      </c>
      <c r="D132" s="52">
        <v>1.016047517E9</v>
      </c>
      <c r="E132" s="52" t="s">
        <v>2763</v>
      </c>
      <c r="F132" s="52" t="s">
        <v>176</v>
      </c>
      <c r="G132" s="52" t="s">
        <v>1475</v>
      </c>
      <c r="H132" s="52" t="s">
        <v>2764</v>
      </c>
      <c r="I132" s="52" t="s">
        <v>2027</v>
      </c>
    </row>
    <row r="133">
      <c r="A133" s="52">
        <v>107.0</v>
      </c>
      <c r="B133" s="52" t="s">
        <v>609</v>
      </c>
      <c r="C133" s="52" t="s">
        <v>2005</v>
      </c>
      <c r="D133" s="52">
        <v>1.233490485E9</v>
      </c>
      <c r="E133" s="52" t="s">
        <v>1908</v>
      </c>
      <c r="F133" s="69">
        <v>45684.0</v>
      </c>
      <c r="G133" s="52" t="s">
        <v>611</v>
      </c>
      <c r="H133" s="52" t="s">
        <v>2291</v>
      </c>
      <c r="I133" s="52" t="s">
        <v>2008</v>
      </c>
      <c r="J133" s="52" t="s">
        <v>1470</v>
      </c>
      <c r="K133" s="52" t="s">
        <v>2612</v>
      </c>
      <c r="L133" s="52" t="s">
        <v>2010</v>
      </c>
      <c r="N133" s="52" t="s">
        <v>2010</v>
      </c>
      <c r="O133" s="69">
        <v>45679.0</v>
      </c>
      <c r="P133" s="52">
        <v>2.0251020005763E13</v>
      </c>
      <c r="Q133" s="52" t="s">
        <v>2612</v>
      </c>
      <c r="R133" s="69">
        <v>45680.0</v>
      </c>
      <c r="S133" s="52" t="s">
        <v>2765</v>
      </c>
      <c r="T133" s="52" t="s">
        <v>2013</v>
      </c>
      <c r="U133" s="52" t="s">
        <v>2766</v>
      </c>
      <c r="V133" s="52" t="s">
        <v>581</v>
      </c>
      <c r="W133" s="52" t="s">
        <v>1471</v>
      </c>
      <c r="X133" s="52" t="s">
        <v>583</v>
      </c>
      <c r="Y133" s="52" t="s">
        <v>610</v>
      </c>
      <c r="Z133" s="52" t="s">
        <v>2081</v>
      </c>
      <c r="AA133" s="52" t="s">
        <v>2016</v>
      </c>
      <c r="AB133" s="52" t="s">
        <v>2017</v>
      </c>
      <c r="AC133" s="52" t="s">
        <v>2033</v>
      </c>
      <c r="AD133" s="52" t="s">
        <v>587</v>
      </c>
      <c r="AE133" s="52" t="s">
        <v>2093</v>
      </c>
      <c r="AF133" s="69">
        <v>35670.0</v>
      </c>
      <c r="AG133" s="52">
        <v>28.0</v>
      </c>
      <c r="AH133" s="52" t="s">
        <v>1472</v>
      </c>
      <c r="AI133" s="52" t="s">
        <v>2767</v>
      </c>
      <c r="AJ133" s="52" t="s">
        <v>2768</v>
      </c>
      <c r="AK133" s="52" t="s">
        <v>2022</v>
      </c>
      <c r="AL133" s="52" t="s">
        <v>1707</v>
      </c>
      <c r="AM133" s="52" t="s">
        <v>587</v>
      </c>
      <c r="AN133" s="52" t="s">
        <v>1707</v>
      </c>
      <c r="AO133" s="52" t="s">
        <v>1483</v>
      </c>
      <c r="AP133" s="52">
        <v>12925.0</v>
      </c>
      <c r="AQ133" s="52">
        <v>13625.0</v>
      </c>
      <c r="AR133" s="52" t="s">
        <v>38</v>
      </c>
      <c r="AS133" s="69">
        <v>45686.0</v>
      </c>
      <c r="AT133" s="70">
        <v>45989.0</v>
      </c>
      <c r="AU133" s="69">
        <v>45686.0</v>
      </c>
      <c r="AV133" s="70">
        <v>45989.0</v>
      </c>
      <c r="AW133" s="52" t="s">
        <v>1483</v>
      </c>
      <c r="AX133" s="52" t="s">
        <v>587</v>
      </c>
      <c r="AY133" s="52">
        <v>303.0</v>
      </c>
      <c r="AZ133" s="52" t="s">
        <v>2010</v>
      </c>
      <c r="BA133" s="73" t="s">
        <v>2769</v>
      </c>
      <c r="BB133" s="69">
        <v>45686.0</v>
      </c>
      <c r="BC133" s="52" t="s">
        <v>328</v>
      </c>
      <c r="BD133" s="52">
        <v>1.016024615E9</v>
      </c>
      <c r="BE133" s="52" t="s">
        <v>2212</v>
      </c>
      <c r="BF133" s="52" t="s">
        <v>258</v>
      </c>
      <c r="BG133" s="52" t="s">
        <v>2041</v>
      </c>
      <c r="BH133" s="52" t="s">
        <v>2770</v>
      </c>
      <c r="BI133" s="52" t="s">
        <v>2027</v>
      </c>
    </row>
    <row r="134">
      <c r="A134" s="52">
        <v>108.0</v>
      </c>
      <c r="B134" s="52" t="s">
        <v>613</v>
      </c>
      <c r="C134" s="52" t="s">
        <v>2005</v>
      </c>
      <c r="D134" s="52">
        <v>1.073384272E9</v>
      </c>
      <c r="E134" s="52" t="s">
        <v>1908</v>
      </c>
      <c r="F134" s="69">
        <v>45681.0</v>
      </c>
      <c r="G134" s="52" t="s">
        <v>614</v>
      </c>
      <c r="H134" s="52" t="s">
        <v>2257</v>
      </c>
      <c r="I134" s="52" t="s">
        <v>2257</v>
      </c>
      <c r="J134" s="52" t="s">
        <v>1478</v>
      </c>
      <c r="K134" s="52" t="s">
        <v>2059</v>
      </c>
      <c r="L134" s="52" t="s">
        <v>2010</v>
      </c>
      <c r="N134" s="52" t="s">
        <v>2010</v>
      </c>
      <c r="O134" s="69">
        <v>45680.0</v>
      </c>
      <c r="P134" s="52">
        <v>2.0251800005873E13</v>
      </c>
      <c r="Q134" s="52" t="s">
        <v>2059</v>
      </c>
      <c r="R134" s="69">
        <v>45680.0</v>
      </c>
      <c r="S134" s="52" t="s">
        <v>2771</v>
      </c>
      <c r="T134" s="52" t="s">
        <v>2013</v>
      </c>
      <c r="U134" s="52" t="s">
        <v>2772</v>
      </c>
      <c r="V134" s="52" t="s">
        <v>581</v>
      </c>
      <c r="W134" s="52" t="s">
        <v>1471</v>
      </c>
      <c r="X134" s="52" t="s">
        <v>583</v>
      </c>
      <c r="Y134" s="52" t="s">
        <v>600</v>
      </c>
      <c r="Z134" s="52" t="s">
        <v>2081</v>
      </c>
      <c r="AA134" s="52" t="s">
        <v>2016</v>
      </c>
      <c r="AB134" s="52" t="s">
        <v>2228</v>
      </c>
      <c r="AC134" s="52" t="s">
        <v>2033</v>
      </c>
      <c r="AD134" s="52" t="s">
        <v>587</v>
      </c>
      <c r="AE134" s="52" t="s">
        <v>2773</v>
      </c>
      <c r="AF134" s="69">
        <v>34819.0</v>
      </c>
      <c r="AG134" s="52">
        <v>30.0</v>
      </c>
      <c r="AH134" s="52" t="s">
        <v>1526</v>
      </c>
      <c r="AI134" s="52" t="s">
        <v>2774</v>
      </c>
      <c r="AJ134" s="52" t="s">
        <v>2775</v>
      </c>
      <c r="AK134" s="52" t="s">
        <v>2022</v>
      </c>
      <c r="AL134" s="52" t="s">
        <v>1708</v>
      </c>
      <c r="AM134" s="52" t="s">
        <v>587</v>
      </c>
      <c r="AN134" s="52" t="s">
        <v>1708</v>
      </c>
      <c r="AO134" s="52" t="s">
        <v>1483</v>
      </c>
      <c r="AP134" s="52">
        <v>13225.0</v>
      </c>
      <c r="AQ134" s="52">
        <v>12025.0</v>
      </c>
      <c r="AR134" s="52" t="s">
        <v>228</v>
      </c>
      <c r="AS134" s="69">
        <v>45684.0</v>
      </c>
      <c r="AT134" s="69">
        <v>45788.0</v>
      </c>
      <c r="AU134" s="69">
        <v>45684.0</v>
      </c>
      <c r="AV134" s="69">
        <v>45788.0</v>
      </c>
      <c r="AW134" s="52" t="s">
        <v>1483</v>
      </c>
      <c r="AX134" s="52" t="s">
        <v>587</v>
      </c>
      <c r="AY134" s="52">
        <v>104.0</v>
      </c>
      <c r="AZ134" s="52" t="s">
        <v>2010</v>
      </c>
      <c r="BA134" s="73" t="s">
        <v>2776</v>
      </c>
      <c r="BB134" s="69">
        <v>45684.0</v>
      </c>
      <c r="BC134" s="52" t="s">
        <v>489</v>
      </c>
      <c r="BD134" s="70">
        <v>1.6079421E7</v>
      </c>
      <c r="BE134" s="52" t="s">
        <v>2605</v>
      </c>
      <c r="BF134" s="52" t="s">
        <v>453</v>
      </c>
      <c r="BG134" s="52" t="s">
        <v>2041</v>
      </c>
      <c r="BH134" s="52" t="s">
        <v>2777</v>
      </c>
      <c r="BI134" s="52" t="s">
        <v>2027</v>
      </c>
    </row>
    <row r="135">
      <c r="A135" s="52">
        <v>109.0</v>
      </c>
      <c r="B135" s="52" t="s">
        <v>616</v>
      </c>
      <c r="C135" s="52" t="s">
        <v>2005</v>
      </c>
      <c r="D135" s="52">
        <v>1.010101135E9</v>
      </c>
      <c r="E135" s="52" t="s">
        <v>1908</v>
      </c>
      <c r="F135" s="69">
        <v>45684.0</v>
      </c>
      <c r="G135" s="52" t="s">
        <v>618</v>
      </c>
      <c r="H135" s="52" t="s">
        <v>2088</v>
      </c>
      <c r="I135" s="52" t="s">
        <v>2088</v>
      </c>
      <c r="J135" s="52" t="s">
        <v>1478</v>
      </c>
      <c r="K135" s="52" t="s">
        <v>2515</v>
      </c>
      <c r="L135" s="52" t="s">
        <v>2010</v>
      </c>
      <c r="N135" s="52" t="s">
        <v>2010</v>
      </c>
      <c r="O135" s="69">
        <v>45680.0</v>
      </c>
      <c r="P135" s="52">
        <v>2.0251000005883E13</v>
      </c>
      <c r="Q135" s="52" t="s">
        <v>2515</v>
      </c>
      <c r="R135" s="69">
        <v>45680.0</v>
      </c>
      <c r="S135" s="52" t="s">
        <v>2778</v>
      </c>
      <c r="T135" s="52" t="s">
        <v>2013</v>
      </c>
      <c r="U135" s="52" t="s">
        <v>2779</v>
      </c>
      <c r="V135" s="52" t="s">
        <v>581</v>
      </c>
      <c r="W135" s="52" t="s">
        <v>1471</v>
      </c>
      <c r="X135" s="52" t="s">
        <v>583</v>
      </c>
      <c r="Y135" s="52" t="s">
        <v>617</v>
      </c>
      <c r="Z135" s="52" t="s">
        <v>2015</v>
      </c>
      <c r="AA135" s="52" t="s">
        <v>2054</v>
      </c>
      <c r="AB135" s="52" t="s">
        <v>2032</v>
      </c>
      <c r="AC135" s="52" t="s">
        <v>2114</v>
      </c>
      <c r="AD135" s="52" t="s">
        <v>587</v>
      </c>
      <c r="AE135" s="52" t="s">
        <v>2093</v>
      </c>
      <c r="AF135" s="69">
        <v>36593.0</v>
      </c>
      <c r="AG135" s="52">
        <v>25.0</v>
      </c>
      <c r="AH135" s="52" t="s">
        <v>1538</v>
      </c>
      <c r="AI135" s="52" t="s">
        <v>2780</v>
      </c>
      <c r="AJ135" s="52" t="s">
        <v>2781</v>
      </c>
      <c r="AK135" s="52" t="s">
        <v>2022</v>
      </c>
      <c r="AL135" s="52" t="s">
        <v>1711</v>
      </c>
      <c r="AM135" s="52" t="s">
        <v>587</v>
      </c>
      <c r="AN135" s="52" t="s">
        <v>1711</v>
      </c>
      <c r="AO135" s="52" t="s">
        <v>1483</v>
      </c>
      <c r="AP135" s="52">
        <v>11725.0</v>
      </c>
      <c r="AQ135" s="52">
        <v>13225.0</v>
      </c>
      <c r="AR135" s="52" t="s">
        <v>77</v>
      </c>
      <c r="AS135" s="69">
        <v>45685.0</v>
      </c>
      <c r="AT135" s="70">
        <v>46018.0</v>
      </c>
      <c r="AU135" s="69">
        <v>45685.0</v>
      </c>
      <c r="AV135" s="70">
        <v>46018.0</v>
      </c>
      <c r="AW135" s="52" t="s">
        <v>1483</v>
      </c>
      <c r="AX135" s="52" t="s">
        <v>587</v>
      </c>
      <c r="AY135" s="52">
        <v>333.0</v>
      </c>
      <c r="AZ135" s="52" t="s">
        <v>2010</v>
      </c>
      <c r="BA135" s="73" t="s">
        <v>2782</v>
      </c>
      <c r="BB135" s="69">
        <v>45685.0</v>
      </c>
      <c r="BC135" s="52" t="s">
        <v>375</v>
      </c>
      <c r="BD135" s="52">
        <v>1.01842287E9</v>
      </c>
      <c r="BE135" s="52" t="s">
        <v>2453</v>
      </c>
      <c r="BF135" s="52" t="s">
        <v>193</v>
      </c>
      <c r="BG135" s="52" t="s">
        <v>2041</v>
      </c>
      <c r="BH135" s="52" t="s">
        <v>2783</v>
      </c>
      <c r="BI135" s="52" t="s">
        <v>2027</v>
      </c>
    </row>
    <row r="136">
      <c r="A136" s="52">
        <v>110.0</v>
      </c>
      <c r="B136" s="52" t="s">
        <v>621</v>
      </c>
      <c r="C136" s="52" t="s">
        <v>2005</v>
      </c>
      <c r="D136" s="52">
        <v>1.096217701E9</v>
      </c>
      <c r="E136" s="52" t="s">
        <v>1908</v>
      </c>
      <c r="F136" s="69">
        <v>45681.0</v>
      </c>
      <c r="G136" s="52" t="s">
        <v>623</v>
      </c>
      <c r="H136" s="52" t="s">
        <v>2068</v>
      </c>
      <c r="I136" s="52" t="s">
        <v>2068</v>
      </c>
      <c r="J136" s="52" t="s">
        <v>1478</v>
      </c>
      <c r="K136" s="52" t="s">
        <v>2059</v>
      </c>
      <c r="L136" s="52" t="s">
        <v>2010</v>
      </c>
      <c r="N136" s="52" t="s">
        <v>2010</v>
      </c>
      <c r="O136" s="69">
        <v>45680.0</v>
      </c>
      <c r="P136" s="52">
        <v>2.0251900005893E13</v>
      </c>
      <c r="Q136" s="52" t="s">
        <v>2059</v>
      </c>
      <c r="R136" s="69">
        <v>45680.0</v>
      </c>
      <c r="S136" s="52" t="s">
        <v>2784</v>
      </c>
      <c r="T136" s="52" t="s">
        <v>2013</v>
      </c>
      <c r="U136" s="52" t="s">
        <v>2785</v>
      </c>
      <c r="V136" s="52" t="s">
        <v>581</v>
      </c>
      <c r="W136" s="52" t="s">
        <v>1471</v>
      </c>
      <c r="X136" s="52" t="s">
        <v>583</v>
      </c>
      <c r="Y136" s="52" t="s">
        <v>622</v>
      </c>
      <c r="Z136" s="52" t="s">
        <v>2081</v>
      </c>
      <c r="AA136" s="52" t="s">
        <v>2054</v>
      </c>
      <c r="AB136" s="52" t="s">
        <v>2032</v>
      </c>
      <c r="AC136" s="52" t="s">
        <v>2082</v>
      </c>
      <c r="AD136" s="52" t="s">
        <v>587</v>
      </c>
      <c r="AE136" s="52" t="s">
        <v>2786</v>
      </c>
      <c r="AF136" s="69">
        <v>33863.0</v>
      </c>
      <c r="AG136" s="52">
        <v>33.0</v>
      </c>
      <c r="AH136" s="52" t="s">
        <v>1712</v>
      </c>
      <c r="AI136" s="52" t="s">
        <v>2787</v>
      </c>
      <c r="AJ136" s="52" t="s">
        <v>2788</v>
      </c>
      <c r="AK136" s="52" t="s">
        <v>2022</v>
      </c>
      <c r="AL136" s="52" t="s">
        <v>1713</v>
      </c>
      <c r="AM136" s="52" t="s">
        <v>587</v>
      </c>
      <c r="AN136" s="52" t="s">
        <v>1713</v>
      </c>
      <c r="AO136" s="52" t="s">
        <v>1483</v>
      </c>
      <c r="AP136" s="52">
        <v>16625.0</v>
      </c>
      <c r="AQ136" s="52">
        <v>12425.0</v>
      </c>
      <c r="AR136" s="52" t="s">
        <v>624</v>
      </c>
      <c r="AS136" s="69">
        <v>45685.0</v>
      </c>
      <c r="AT136" s="70">
        <v>46022.0</v>
      </c>
      <c r="AU136" s="69">
        <v>45685.0</v>
      </c>
      <c r="AV136" s="70">
        <v>46022.0</v>
      </c>
      <c r="AW136" s="52" t="s">
        <v>1483</v>
      </c>
      <c r="AX136" s="52" t="s">
        <v>587</v>
      </c>
      <c r="AY136" s="52">
        <v>337.0</v>
      </c>
      <c r="AZ136" s="52" t="s">
        <v>2010</v>
      </c>
      <c r="BA136" s="73" t="s">
        <v>2789</v>
      </c>
      <c r="BB136" s="69">
        <v>45685.0</v>
      </c>
      <c r="BC136" s="52" t="s">
        <v>433</v>
      </c>
      <c r="BD136" s="52">
        <v>1.02071366E9</v>
      </c>
      <c r="BE136" s="52" t="s">
        <v>2790</v>
      </c>
      <c r="BF136" s="52" t="s">
        <v>223</v>
      </c>
      <c r="BG136" s="52" t="s">
        <v>2041</v>
      </c>
      <c r="BH136" s="52" t="s">
        <v>2791</v>
      </c>
      <c r="BI136" s="52" t="s">
        <v>2027</v>
      </c>
    </row>
    <row r="137">
      <c r="A137" s="52">
        <v>111.0</v>
      </c>
      <c r="B137" s="52" t="s">
        <v>626</v>
      </c>
      <c r="C137" s="52" t="s">
        <v>2005</v>
      </c>
      <c r="D137" s="52">
        <v>1.032460931E9</v>
      </c>
      <c r="E137" s="52" t="s">
        <v>1908</v>
      </c>
      <c r="F137" s="69">
        <v>45684.0</v>
      </c>
      <c r="G137" s="52" t="s">
        <v>628</v>
      </c>
      <c r="H137" s="52" t="s">
        <v>2291</v>
      </c>
      <c r="I137" s="52" t="s">
        <v>2177</v>
      </c>
      <c r="J137" s="52" t="s">
        <v>1478</v>
      </c>
      <c r="K137" s="52" t="s">
        <v>2612</v>
      </c>
      <c r="L137" s="52" t="s">
        <v>2010</v>
      </c>
      <c r="N137" s="52" t="s">
        <v>2010</v>
      </c>
      <c r="O137" s="69">
        <v>45680.0</v>
      </c>
      <c r="P137" s="52">
        <v>2.0251020005903E13</v>
      </c>
      <c r="Q137" s="52" t="s">
        <v>2612</v>
      </c>
      <c r="R137" s="69">
        <v>45680.0</v>
      </c>
      <c r="S137" s="52" t="s">
        <v>2792</v>
      </c>
      <c r="T137" s="52" t="s">
        <v>2013</v>
      </c>
      <c r="U137" s="52" t="s">
        <v>2793</v>
      </c>
      <c r="V137" s="52" t="s">
        <v>581</v>
      </c>
      <c r="W137" s="52" t="s">
        <v>1471</v>
      </c>
      <c r="X137" s="52" t="s">
        <v>583</v>
      </c>
      <c r="Y137" s="52" t="s">
        <v>627</v>
      </c>
      <c r="Z137" s="52" t="s">
        <v>2015</v>
      </c>
      <c r="AA137" s="52" t="s">
        <v>2016</v>
      </c>
      <c r="AB137" s="52" t="s">
        <v>2017</v>
      </c>
      <c r="AC137" s="52" t="s">
        <v>2018</v>
      </c>
      <c r="AD137" s="52" t="s">
        <v>587</v>
      </c>
      <c r="AE137" s="52" t="s">
        <v>2019</v>
      </c>
      <c r="AF137" s="70">
        <v>34316.0</v>
      </c>
      <c r="AG137" s="52">
        <v>32.0</v>
      </c>
      <c r="AH137" s="52" t="s">
        <v>1479</v>
      </c>
      <c r="AI137" s="52" t="s">
        <v>2794</v>
      </c>
      <c r="AJ137" s="52" t="s">
        <v>2795</v>
      </c>
      <c r="AK137" s="52" t="s">
        <v>2022</v>
      </c>
      <c r="AL137" s="52" t="s">
        <v>1714</v>
      </c>
      <c r="AM137" s="52" t="s">
        <v>587</v>
      </c>
      <c r="AN137" s="52" t="s">
        <v>1714</v>
      </c>
      <c r="AO137" s="52" t="s">
        <v>1483</v>
      </c>
      <c r="AP137" s="52">
        <v>13625.0</v>
      </c>
      <c r="AQ137" s="52">
        <v>12825.0</v>
      </c>
      <c r="AR137" s="52" t="s">
        <v>152</v>
      </c>
      <c r="AS137" s="69">
        <v>45685.0</v>
      </c>
      <c r="AT137" s="70">
        <v>45988.0</v>
      </c>
      <c r="AU137" s="69">
        <v>45685.0</v>
      </c>
      <c r="AV137" s="70">
        <v>45988.0</v>
      </c>
      <c r="AW137" s="52" t="s">
        <v>1483</v>
      </c>
      <c r="AX137" s="52" t="s">
        <v>587</v>
      </c>
      <c r="AY137" s="52">
        <v>303.0</v>
      </c>
      <c r="AZ137" s="52" t="s">
        <v>2010</v>
      </c>
      <c r="BA137" s="73" t="s">
        <v>2796</v>
      </c>
      <c r="BB137" s="69">
        <v>45685.0</v>
      </c>
      <c r="BC137" s="52" t="s">
        <v>607</v>
      </c>
      <c r="BD137" s="52">
        <v>1.016047517E9</v>
      </c>
      <c r="BE137" s="52" t="s">
        <v>2763</v>
      </c>
      <c r="BF137" s="52" t="s">
        <v>176</v>
      </c>
      <c r="BG137" s="52" t="s">
        <v>2041</v>
      </c>
      <c r="BH137" s="52" t="s">
        <v>2797</v>
      </c>
      <c r="BI137" s="52" t="s">
        <v>2027</v>
      </c>
    </row>
    <row r="138">
      <c r="A138" s="52">
        <v>112.0</v>
      </c>
      <c r="B138" s="52" t="s">
        <v>630</v>
      </c>
      <c r="C138" s="52" t="s">
        <v>2005</v>
      </c>
      <c r="D138" s="52">
        <v>1.01020469E9</v>
      </c>
      <c r="E138" s="52" t="s">
        <v>1908</v>
      </c>
      <c r="F138" s="69">
        <v>45691.0</v>
      </c>
      <c r="G138" s="52" t="s">
        <v>632</v>
      </c>
      <c r="H138" s="52" t="s">
        <v>2008</v>
      </c>
      <c r="I138" s="52" t="s">
        <v>2798</v>
      </c>
      <c r="J138" s="52" t="s">
        <v>1470</v>
      </c>
      <c r="K138" s="52" t="s">
        <v>2098</v>
      </c>
      <c r="L138" s="52" t="s">
        <v>2010</v>
      </c>
      <c r="N138" s="52" t="s">
        <v>2010</v>
      </c>
      <c r="O138" s="69">
        <v>45680.0</v>
      </c>
      <c r="P138" s="52">
        <v>2.0251610005913E13</v>
      </c>
      <c r="Q138" s="52" t="s">
        <v>2098</v>
      </c>
      <c r="R138" s="69">
        <v>45680.0</v>
      </c>
      <c r="S138" s="52" t="s">
        <v>2799</v>
      </c>
      <c r="T138" s="52" t="s">
        <v>2013</v>
      </c>
      <c r="U138" s="52" t="s">
        <v>2800</v>
      </c>
      <c r="V138" s="52" t="s">
        <v>581</v>
      </c>
      <c r="W138" s="52" t="s">
        <v>1471</v>
      </c>
      <c r="X138" s="52" t="s">
        <v>583</v>
      </c>
      <c r="Y138" s="52" t="s">
        <v>631</v>
      </c>
      <c r="Z138" s="52" t="s">
        <v>2081</v>
      </c>
      <c r="AA138" s="52" t="s">
        <v>2016</v>
      </c>
      <c r="AB138" s="52" t="s">
        <v>2032</v>
      </c>
      <c r="AC138" s="52" t="s">
        <v>2018</v>
      </c>
      <c r="AD138" s="52" t="s">
        <v>587</v>
      </c>
      <c r="AE138" s="52" t="s">
        <v>2019</v>
      </c>
      <c r="AF138" s="70">
        <v>35708.0</v>
      </c>
      <c r="AG138" s="52">
        <v>28.0</v>
      </c>
      <c r="AH138" s="52" t="s">
        <v>1716</v>
      </c>
      <c r="AI138" s="52" t="s">
        <v>2801</v>
      </c>
      <c r="AJ138" s="52" t="s">
        <v>2802</v>
      </c>
      <c r="AK138" s="52" t="s">
        <v>2022</v>
      </c>
      <c r="AL138" s="52" t="s">
        <v>1717</v>
      </c>
      <c r="AM138" s="52" t="s">
        <v>1524</v>
      </c>
      <c r="AN138" s="52" t="s">
        <v>1718</v>
      </c>
      <c r="AO138" s="52" t="s">
        <v>1483</v>
      </c>
      <c r="AP138" s="52">
        <v>16825.0</v>
      </c>
      <c r="AQ138" s="52">
        <v>18325.0</v>
      </c>
      <c r="AR138" s="52" t="s">
        <v>633</v>
      </c>
      <c r="AS138" s="69">
        <v>45693.0</v>
      </c>
      <c r="AT138" s="70">
        <v>46022.0</v>
      </c>
      <c r="AU138" s="69">
        <v>45693.0</v>
      </c>
      <c r="AV138" s="70">
        <v>46022.0</v>
      </c>
      <c r="AW138" s="52" t="s">
        <v>1483</v>
      </c>
      <c r="AX138" s="52" t="s">
        <v>587</v>
      </c>
      <c r="AY138" s="52">
        <v>329.0</v>
      </c>
      <c r="AZ138" s="52" t="s">
        <v>2010</v>
      </c>
      <c r="BA138" s="73" t="s">
        <v>2803</v>
      </c>
      <c r="BB138" s="69">
        <v>45693.0</v>
      </c>
      <c r="BC138" s="52" t="s">
        <v>557</v>
      </c>
      <c r="BD138" s="52">
        <v>7.9954284E7</v>
      </c>
      <c r="BE138" s="52" t="s">
        <v>2694</v>
      </c>
      <c r="BF138" s="52" t="s">
        <v>165</v>
      </c>
      <c r="BG138" s="52" t="s">
        <v>2041</v>
      </c>
      <c r="BH138" s="52" t="s">
        <v>2804</v>
      </c>
      <c r="BI138" s="52" t="s">
        <v>2805</v>
      </c>
    </row>
    <row r="139">
      <c r="A139" s="52">
        <v>113.0</v>
      </c>
      <c r="B139" s="52" t="s">
        <v>635</v>
      </c>
      <c r="C139" s="52" t="s">
        <v>2005</v>
      </c>
      <c r="D139" s="52">
        <v>1.054679552E9</v>
      </c>
      <c r="E139" s="52" t="s">
        <v>1908</v>
      </c>
      <c r="F139" s="69">
        <v>45681.0</v>
      </c>
      <c r="G139" s="52" t="s">
        <v>637</v>
      </c>
      <c r="H139" s="52" t="s">
        <v>1719</v>
      </c>
      <c r="I139" s="52" t="s">
        <v>2008</v>
      </c>
      <c r="J139" s="52" t="s">
        <v>1470</v>
      </c>
      <c r="K139" s="52" t="s">
        <v>2098</v>
      </c>
      <c r="L139" s="52" t="s">
        <v>2010</v>
      </c>
      <c r="N139" s="52" t="s">
        <v>2010</v>
      </c>
      <c r="O139" s="69">
        <v>45680.0</v>
      </c>
      <c r="P139" s="52">
        <v>2.0251120005923E13</v>
      </c>
      <c r="Q139" s="52" t="s">
        <v>2098</v>
      </c>
      <c r="R139" s="69">
        <v>45680.0</v>
      </c>
      <c r="S139" s="52" t="s">
        <v>2806</v>
      </c>
      <c r="T139" s="52" t="s">
        <v>2013</v>
      </c>
      <c r="U139" s="52" t="s">
        <v>2807</v>
      </c>
      <c r="V139" s="52" t="s">
        <v>581</v>
      </c>
      <c r="W139" s="52" t="s">
        <v>1471</v>
      </c>
      <c r="X139" s="52" t="s">
        <v>583</v>
      </c>
      <c r="Y139" s="52" t="s">
        <v>636</v>
      </c>
      <c r="Z139" s="52" t="s">
        <v>2015</v>
      </c>
      <c r="AA139" s="52" t="s">
        <v>2054</v>
      </c>
      <c r="AB139" s="52" t="s">
        <v>2032</v>
      </c>
      <c r="AC139" s="52" t="s">
        <v>2033</v>
      </c>
      <c r="AD139" s="52" t="s">
        <v>587</v>
      </c>
      <c r="AE139" s="52" t="s">
        <v>2808</v>
      </c>
      <c r="AF139" s="69">
        <v>32740.0</v>
      </c>
      <c r="AG139" s="52">
        <v>36.0</v>
      </c>
      <c r="AH139" s="52" t="s">
        <v>1544</v>
      </c>
      <c r="AI139" s="52" t="s">
        <v>2809</v>
      </c>
      <c r="AJ139" s="52" t="s">
        <v>2810</v>
      </c>
      <c r="AK139" s="52" t="s">
        <v>2022</v>
      </c>
      <c r="AL139" s="52" t="s">
        <v>1672</v>
      </c>
      <c r="AM139" s="52" t="s">
        <v>587</v>
      </c>
      <c r="AN139" s="52" t="s">
        <v>1672</v>
      </c>
      <c r="AO139" s="52" t="s">
        <v>1483</v>
      </c>
      <c r="AP139" s="52">
        <v>15525.0</v>
      </c>
      <c r="AQ139" s="52">
        <v>11725.0</v>
      </c>
      <c r="AR139" s="52" t="s">
        <v>38</v>
      </c>
      <c r="AS139" s="69">
        <v>45684.0</v>
      </c>
      <c r="AT139" s="70">
        <v>45987.0</v>
      </c>
      <c r="AU139" s="69">
        <v>45684.0</v>
      </c>
      <c r="AV139" s="70">
        <v>45987.0</v>
      </c>
      <c r="AW139" s="52" t="s">
        <v>1483</v>
      </c>
      <c r="AX139" s="52" t="s">
        <v>587</v>
      </c>
      <c r="AY139" s="52">
        <v>303.0</v>
      </c>
      <c r="AZ139" s="52" t="s">
        <v>2010</v>
      </c>
      <c r="BA139" s="73" t="s">
        <v>2811</v>
      </c>
      <c r="BB139" s="69">
        <v>45684.0</v>
      </c>
      <c r="BC139" s="52" t="s">
        <v>638</v>
      </c>
      <c r="BD139" s="52">
        <v>5.2459736E7</v>
      </c>
      <c r="BE139" s="52" t="s">
        <v>2656</v>
      </c>
      <c r="BF139" s="52" t="s">
        <v>236</v>
      </c>
      <c r="BG139" s="52" t="s">
        <v>2041</v>
      </c>
      <c r="BH139" s="52" t="s">
        <v>2812</v>
      </c>
      <c r="BI139" s="52" t="s">
        <v>2027</v>
      </c>
    </row>
    <row r="140">
      <c r="A140" s="52">
        <v>114.0</v>
      </c>
      <c r="B140" s="52" t="s">
        <v>640</v>
      </c>
      <c r="C140" s="52" t="s">
        <v>2005</v>
      </c>
      <c r="D140" s="52">
        <v>1.04962724E9</v>
      </c>
      <c r="E140" s="52" t="s">
        <v>1908</v>
      </c>
      <c r="F140" s="69">
        <v>45684.0</v>
      </c>
      <c r="G140" s="52" t="s">
        <v>642</v>
      </c>
      <c r="H140" s="52" t="s">
        <v>2813</v>
      </c>
      <c r="I140" s="52" t="s">
        <v>2042</v>
      </c>
      <c r="J140" s="52" t="s">
        <v>1478</v>
      </c>
      <c r="K140" s="52" t="s">
        <v>2612</v>
      </c>
      <c r="L140" s="52" t="s">
        <v>2010</v>
      </c>
      <c r="N140" s="52" t="s">
        <v>2010</v>
      </c>
      <c r="O140" s="69">
        <v>45680.0</v>
      </c>
      <c r="P140" s="52">
        <v>2.0251020005943E13</v>
      </c>
      <c r="Q140" s="52" t="s">
        <v>2612</v>
      </c>
      <c r="R140" s="69">
        <v>45680.0</v>
      </c>
      <c r="S140" s="52" t="s">
        <v>2814</v>
      </c>
      <c r="T140" s="52" t="s">
        <v>2013</v>
      </c>
      <c r="U140" s="52" t="s">
        <v>2815</v>
      </c>
      <c r="V140" s="52" t="s">
        <v>581</v>
      </c>
      <c r="W140" s="52" t="s">
        <v>1471</v>
      </c>
      <c r="X140" s="52" t="s">
        <v>583</v>
      </c>
      <c r="Y140" s="52" t="s">
        <v>641</v>
      </c>
      <c r="Z140" s="52" t="s">
        <v>2081</v>
      </c>
      <c r="AA140" s="52" t="s">
        <v>2016</v>
      </c>
      <c r="AB140" s="52" t="s">
        <v>2228</v>
      </c>
      <c r="AC140" s="52" t="s">
        <v>2082</v>
      </c>
      <c r="AD140" s="52" t="s">
        <v>587</v>
      </c>
      <c r="AE140" s="52" t="s">
        <v>2816</v>
      </c>
      <c r="AF140" s="69">
        <v>33493.0</v>
      </c>
      <c r="AG140" s="52">
        <v>34.0</v>
      </c>
      <c r="AH140" s="52" t="s">
        <v>1472</v>
      </c>
      <c r="AI140" s="52" t="s">
        <v>2817</v>
      </c>
      <c r="AJ140" s="52" t="s">
        <v>2818</v>
      </c>
      <c r="AK140" s="52" t="s">
        <v>2022</v>
      </c>
      <c r="AL140" s="52" t="s">
        <v>1720</v>
      </c>
      <c r="AM140" s="52" t="s">
        <v>587</v>
      </c>
      <c r="AN140" s="52" t="s">
        <v>1720</v>
      </c>
      <c r="AO140" s="52" t="s">
        <v>1483</v>
      </c>
      <c r="AP140" s="52">
        <v>12525.0</v>
      </c>
      <c r="AQ140" s="52">
        <v>13525.0</v>
      </c>
      <c r="AR140" s="52" t="s">
        <v>53</v>
      </c>
      <c r="AS140" s="69">
        <v>45686.0</v>
      </c>
      <c r="AT140" s="70">
        <v>45989.0</v>
      </c>
      <c r="AU140" s="69">
        <v>45686.0</v>
      </c>
      <c r="AV140" s="70">
        <v>45989.0</v>
      </c>
      <c r="AW140" s="52" t="s">
        <v>1483</v>
      </c>
      <c r="AX140" s="52" t="s">
        <v>587</v>
      </c>
      <c r="AY140" s="52">
        <v>303.0</v>
      </c>
      <c r="AZ140" s="52" t="s">
        <v>2010</v>
      </c>
      <c r="BA140" s="73" t="s">
        <v>2819</v>
      </c>
      <c r="BB140" s="69">
        <v>45686.0</v>
      </c>
      <c r="BC140" s="52" t="s">
        <v>257</v>
      </c>
      <c r="BD140" s="52">
        <v>5.298137E7</v>
      </c>
      <c r="BE140" s="52" t="s">
        <v>2820</v>
      </c>
      <c r="BF140" s="52" t="s">
        <v>258</v>
      </c>
      <c r="BG140" s="52" t="s">
        <v>2041</v>
      </c>
      <c r="BH140" s="52" t="s">
        <v>2821</v>
      </c>
      <c r="BI140" s="52" t="s">
        <v>2027</v>
      </c>
    </row>
    <row r="141">
      <c r="A141" s="52">
        <v>115.0</v>
      </c>
      <c r="B141" s="52" t="s">
        <v>650</v>
      </c>
      <c r="C141" s="52" t="s">
        <v>2005</v>
      </c>
      <c r="D141" s="52">
        <v>5.2382217E7</v>
      </c>
      <c r="E141" s="52" t="s">
        <v>1908</v>
      </c>
      <c r="F141" s="69">
        <v>45681.0</v>
      </c>
      <c r="G141" s="52" t="s">
        <v>652</v>
      </c>
      <c r="H141" s="52" t="s">
        <v>2813</v>
      </c>
      <c r="I141" s="52" t="s">
        <v>2042</v>
      </c>
      <c r="J141" s="52" t="s">
        <v>1478</v>
      </c>
      <c r="K141" s="52" t="s">
        <v>2213</v>
      </c>
      <c r="L141" s="52" t="s">
        <v>2010</v>
      </c>
      <c r="N141" s="52" t="s">
        <v>2010</v>
      </c>
      <c r="O141" s="69">
        <v>45680.0</v>
      </c>
      <c r="P141" s="52">
        <v>2.0251020005953E13</v>
      </c>
      <c r="Q141" s="52" t="s">
        <v>2213</v>
      </c>
      <c r="R141" s="69">
        <v>45680.0</v>
      </c>
      <c r="S141" s="52" t="s">
        <v>2822</v>
      </c>
      <c r="T141" s="52" t="s">
        <v>2013</v>
      </c>
      <c r="U141" s="52" t="s">
        <v>2823</v>
      </c>
      <c r="V141" s="52" t="s">
        <v>581</v>
      </c>
      <c r="W141" s="52" t="s">
        <v>1471</v>
      </c>
      <c r="X141" s="52" t="s">
        <v>583</v>
      </c>
      <c r="Y141" s="52" t="s">
        <v>651</v>
      </c>
      <c r="Z141" s="52" t="s">
        <v>2015</v>
      </c>
      <c r="AA141" s="52" t="s">
        <v>2016</v>
      </c>
      <c r="AB141" s="52" t="s">
        <v>39</v>
      </c>
      <c r="AC141" s="52" t="s">
        <v>2824</v>
      </c>
      <c r="AD141" s="52" t="s">
        <v>587</v>
      </c>
      <c r="AE141" s="52" t="s">
        <v>2019</v>
      </c>
      <c r="AF141" s="69">
        <v>28363.0</v>
      </c>
      <c r="AG141" s="52">
        <v>48.0</v>
      </c>
      <c r="AH141" s="52" t="s">
        <v>1479</v>
      </c>
      <c r="AI141" s="52" t="s">
        <v>2825</v>
      </c>
      <c r="AJ141" s="52" t="s">
        <v>2826</v>
      </c>
      <c r="AK141" s="52" t="s">
        <v>2022</v>
      </c>
      <c r="AL141" s="52" t="s">
        <v>1722</v>
      </c>
      <c r="AM141" s="52" t="s">
        <v>587</v>
      </c>
      <c r="AN141" s="52" t="s">
        <v>1722</v>
      </c>
      <c r="AO141" s="52" t="s">
        <v>1483</v>
      </c>
      <c r="AP141" s="52">
        <v>13425.0</v>
      </c>
      <c r="AQ141" s="52">
        <v>13325.0</v>
      </c>
      <c r="AR141" s="52" t="s">
        <v>53</v>
      </c>
      <c r="AS141" s="69">
        <v>45685.0</v>
      </c>
      <c r="AT141" s="70">
        <v>46018.0</v>
      </c>
      <c r="AU141" s="69">
        <v>45685.0</v>
      </c>
      <c r="AV141" s="70">
        <v>46018.0</v>
      </c>
      <c r="AW141" s="52" t="s">
        <v>1483</v>
      </c>
      <c r="AX141" s="52" t="s">
        <v>587</v>
      </c>
      <c r="AY141" s="52">
        <v>333.0</v>
      </c>
      <c r="AZ141" s="52" t="s">
        <v>2010</v>
      </c>
      <c r="BA141" s="73" t="s">
        <v>2827</v>
      </c>
      <c r="BB141" s="69">
        <v>45685.0</v>
      </c>
      <c r="BC141" s="52" t="s">
        <v>257</v>
      </c>
      <c r="BD141" s="52">
        <v>5.298137E7</v>
      </c>
      <c r="BE141" s="52" t="s">
        <v>2820</v>
      </c>
      <c r="BF141" s="52" t="s">
        <v>258</v>
      </c>
      <c r="BG141" s="52" t="s">
        <v>2041</v>
      </c>
      <c r="BH141" s="52" t="s">
        <v>2828</v>
      </c>
      <c r="BI141" s="52" t="s">
        <v>2027</v>
      </c>
    </row>
    <row r="142">
      <c r="A142" s="52">
        <v>116.0</v>
      </c>
      <c r="B142" s="52" t="s">
        <v>654</v>
      </c>
      <c r="C142" s="52" t="s">
        <v>2005</v>
      </c>
      <c r="D142" s="52">
        <v>1.01428721E9</v>
      </c>
      <c r="E142" s="52" t="s">
        <v>1908</v>
      </c>
      <c r="F142" s="69">
        <v>45684.0</v>
      </c>
      <c r="G142" s="52" t="s">
        <v>656</v>
      </c>
      <c r="H142" s="52" t="s">
        <v>2008</v>
      </c>
      <c r="I142" s="52" t="s">
        <v>2008</v>
      </c>
      <c r="J142" s="52" t="s">
        <v>1470</v>
      </c>
      <c r="K142" s="52" t="s">
        <v>2098</v>
      </c>
      <c r="L142" s="52" t="s">
        <v>2010</v>
      </c>
      <c r="N142" s="52" t="s">
        <v>2010</v>
      </c>
      <c r="O142" s="69">
        <v>45680.0</v>
      </c>
      <c r="P142" s="52">
        <v>2.0251610006113E13</v>
      </c>
      <c r="Q142" s="52" t="s">
        <v>2098</v>
      </c>
      <c r="R142" s="69">
        <v>45680.0</v>
      </c>
      <c r="S142" s="52" t="s">
        <v>2829</v>
      </c>
      <c r="T142" s="52" t="s">
        <v>2013</v>
      </c>
      <c r="U142" s="52" t="s">
        <v>2830</v>
      </c>
      <c r="V142" s="52" t="s">
        <v>581</v>
      </c>
      <c r="W142" s="52" t="s">
        <v>1471</v>
      </c>
      <c r="X142" s="52" t="s">
        <v>583</v>
      </c>
      <c r="Y142" s="52" t="s">
        <v>655</v>
      </c>
      <c r="Z142" s="52" t="s">
        <v>2081</v>
      </c>
      <c r="AA142" s="52" t="s">
        <v>2831</v>
      </c>
      <c r="AB142" s="52" t="s">
        <v>2832</v>
      </c>
      <c r="AC142" s="52" t="s">
        <v>2114</v>
      </c>
      <c r="AD142" s="52" t="s">
        <v>587</v>
      </c>
      <c r="AE142" s="52" t="s">
        <v>2093</v>
      </c>
      <c r="AF142" s="69">
        <v>35517.0</v>
      </c>
      <c r="AG142" s="52">
        <v>28.0</v>
      </c>
      <c r="AH142" s="52" t="s">
        <v>1724</v>
      </c>
      <c r="AI142" s="52" t="s">
        <v>2833</v>
      </c>
      <c r="AJ142" s="52" t="s">
        <v>2834</v>
      </c>
      <c r="AK142" s="52" t="s">
        <v>2022</v>
      </c>
      <c r="AL142" s="52" t="s">
        <v>1725</v>
      </c>
      <c r="AM142" s="52" t="s">
        <v>1726</v>
      </c>
      <c r="AN142" s="52" t="s">
        <v>1727</v>
      </c>
      <c r="AO142" s="52" t="s">
        <v>1483</v>
      </c>
      <c r="AP142" s="52">
        <v>15325.0</v>
      </c>
      <c r="AQ142" s="52">
        <v>12525.0</v>
      </c>
      <c r="AR142" s="52" t="s">
        <v>91</v>
      </c>
      <c r="AS142" s="69">
        <v>45685.0</v>
      </c>
      <c r="AT142" s="70">
        <v>46018.0</v>
      </c>
      <c r="AU142" s="69">
        <v>45685.0</v>
      </c>
      <c r="AV142" s="70">
        <v>46018.0</v>
      </c>
      <c r="AW142" s="52" t="s">
        <v>1483</v>
      </c>
      <c r="AX142" s="52" t="s">
        <v>587</v>
      </c>
      <c r="AY142" s="52">
        <v>333.0</v>
      </c>
      <c r="AZ142" s="52" t="s">
        <v>2010</v>
      </c>
      <c r="BA142" s="73" t="s">
        <v>2835</v>
      </c>
      <c r="BB142" s="69">
        <v>45685.0</v>
      </c>
      <c r="BC142" s="52" t="s">
        <v>375</v>
      </c>
      <c r="BD142" s="52">
        <v>1.01842287E9</v>
      </c>
      <c r="BE142" s="52" t="s">
        <v>2453</v>
      </c>
      <c r="BF142" s="52" t="s">
        <v>193</v>
      </c>
      <c r="BG142" s="52" t="s">
        <v>2041</v>
      </c>
      <c r="BH142" s="52" t="s">
        <v>2836</v>
      </c>
      <c r="BI142" s="52" t="s">
        <v>2027</v>
      </c>
    </row>
    <row r="143">
      <c r="A143" s="52">
        <v>117.0</v>
      </c>
      <c r="B143" s="52" t="s">
        <v>659</v>
      </c>
      <c r="C143" s="52" t="s">
        <v>2005</v>
      </c>
      <c r="D143" s="52">
        <v>4.2145409E7</v>
      </c>
      <c r="E143" s="52" t="s">
        <v>1908</v>
      </c>
      <c r="F143" s="69">
        <v>45684.0</v>
      </c>
      <c r="G143" s="52" t="s">
        <v>660</v>
      </c>
      <c r="H143" s="52" t="s">
        <v>2257</v>
      </c>
      <c r="I143" s="52" t="s">
        <v>2257</v>
      </c>
      <c r="J143" s="52" t="s">
        <v>1478</v>
      </c>
      <c r="K143" s="52" t="s">
        <v>2059</v>
      </c>
      <c r="L143" s="52" t="s">
        <v>2010</v>
      </c>
      <c r="N143" s="52" t="s">
        <v>2010</v>
      </c>
      <c r="O143" s="69">
        <v>45680.0</v>
      </c>
      <c r="P143" s="52">
        <v>2.0251800006133E13</v>
      </c>
      <c r="Q143" s="52" t="s">
        <v>2059</v>
      </c>
      <c r="R143" s="69">
        <v>45680.0</v>
      </c>
      <c r="S143" s="52" t="s">
        <v>2837</v>
      </c>
      <c r="T143" s="52" t="s">
        <v>2013</v>
      </c>
      <c r="U143" s="52" t="s">
        <v>2838</v>
      </c>
      <c r="V143" s="52" t="s">
        <v>581</v>
      </c>
      <c r="W143" s="52" t="s">
        <v>1471</v>
      </c>
      <c r="X143" s="52" t="s">
        <v>583</v>
      </c>
      <c r="Y143" s="52" t="s">
        <v>600</v>
      </c>
      <c r="Z143" s="52" t="s">
        <v>2015</v>
      </c>
      <c r="AA143" s="52" t="s">
        <v>2054</v>
      </c>
      <c r="AB143" s="52" t="s">
        <v>2839</v>
      </c>
      <c r="AC143" s="52" t="s">
        <v>2840</v>
      </c>
      <c r="AD143" s="52" t="s">
        <v>587</v>
      </c>
      <c r="AE143" s="52" t="s">
        <v>2841</v>
      </c>
      <c r="AF143" s="70">
        <v>29897.0</v>
      </c>
      <c r="AG143" s="52">
        <v>44.0</v>
      </c>
      <c r="AH143" s="52" t="s">
        <v>2842</v>
      </c>
      <c r="AI143" s="52" t="s">
        <v>2843</v>
      </c>
      <c r="AJ143" s="52" t="s">
        <v>2844</v>
      </c>
      <c r="AK143" s="52" t="s">
        <v>2022</v>
      </c>
      <c r="AL143" s="52" t="s">
        <v>1708</v>
      </c>
      <c r="AM143" s="52" t="s">
        <v>587</v>
      </c>
      <c r="AN143" s="52" t="s">
        <v>1708</v>
      </c>
      <c r="AO143" s="52" t="s">
        <v>1483</v>
      </c>
      <c r="AP143" s="52">
        <v>13125.0</v>
      </c>
      <c r="AQ143" s="52">
        <v>12925.0</v>
      </c>
      <c r="AR143" s="52" t="s">
        <v>228</v>
      </c>
      <c r="AS143" s="69">
        <v>45685.0</v>
      </c>
      <c r="AT143" s="69">
        <v>45789.0</v>
      </c>
      <c r="AU143" s="69">
        <v>45685.0</v>
      </c>
      <c r="AV143" s="69">
        <v>45789.0</v>
      </c>
      <c r="AW143" s="52" t="s">
        <v>1483</v>
      </c>
      <c r="AX143" s="52" t="s">
        <v>587</v>
      </c>
      <c r="AY143" s="52">
        <v>104.0</v>
      </c>
      <c r="AZ143" s="52" t="s">
        <v>2010</v>
      </c>
      <c r="BA143" s="73" t="s">
        <v>2845</v>
      </c>
      <c r="BB143" s="69">
        <v>45685.0</v>
      </c>
      <c r="BC143" s="52" t="s">
        <v>489</v>
      </c>
      <c r="BD143" s="70">
        <v>1.6079421E7</v>
      </c>
      <c r="BE143" s="52" t="s">
        <v>2605</v>
      </c>
      <c r="BF143" s="52" t="s">
        <v>453</v>
      </c>
      <c r="BG143" s="52" t="s">
        <v>2041</v>
      </c>
      <c r="BH143" s="52" t="s">
        <v>2846</v>
      </c>
      <c r="BI143" s="52" t="s">
        <v>2027</v>
      </c>
    </row>
    <row r="144">
      <c r="A144" s="52">
        <v>118.0</v>
      </c>
      <c r="B144" s="52" t="s">
        <v>663</v>
      </c>
      <c r="C144" s="52" t="s">
        <v>2005</v>
      </c>
      <c r="D144" s="52">
        <v>1.019065789E9</v>
      </c>
      <c r="E144" s="52" t="s">
        <v>1908</v>
      </c>
      <c r="F144" s="69">
        <v>45684.0</v>
      </c>
      <c r="G144" s="52" t="s">
        <v>665</v>
      </c>
      <c r="H144" s="52" t="s">
        <v>2121</v>
      </c>
      <c r="I144" s="52" t="s">
        <v>2121</v>
      </c>
      <c r="J144" s="52" t="s">
        <v>1478</v>
      </c>
      <c r="K144" s="52" t="s">
        <v>2515</v>
      </c>
      <c r="L144" s="52" t="s">
        <v>2010</v>
      </c>
      <c r="N144" s="52" t="s">
        <v>2010</v>
      </c>
      <c r="O144" s="69">
        <v>45680.0</v>
      </c>
      <c r="P144" s="52" t="s">
        <v>2847</v>
      </c>
      <c r="Q144" s="52" t="s">
        <v>2515</v>
      </c>
      <c r="R144" s="69">
        <v>45680.0</v>
      </c>
      <c r="S144" s="52" t="s">
        <v>2848</v>
      </c>
      <c r="T144" s="52" t="s">
        <v>2013</v>
      </c>
      <c r="U144" s="52" t="s">
        <v>2849</v>
      </c>
      <c r="V144" s="52" t="s">
        <v>581</v>
      </c>
      <c r="W144" s="52" t="s">
        <v>1471</v>
      </c>
      <c r="X144" s="52" t="s">
        <v>583</v>
      </c>
      <c r="Y144" s="52" t="s">
        <v>664</v>
      </c>
      <c r="Z144" s="52" t="s">
        <v>2081</v>
      </c>
      <c r="AA144" s="52" t="s">
        <v>2054</v>
      </c>
      <c r="AB144" s="52" t="s">
        <v>2062</v>
      </c>
      <c r="AC144" s="52" t="s">
        <v>2018</v>
      </c>
      <c r="AD144" s="52" t="s">
        <v>587</v>
      </c>
      <c r="AE144" s="52" t="s">
        <v>2019</v>
      </c>
      <c r="AF144" s="70">
        <v>33583.0</v>
      </c>
      <c r="AG144" s="52">
        <v>34.0</v>
      </c>
      <c r="AH144" s="52" t="s">
        <v>1724</v>
      </c>
      <c r="AI144" s="52" t="s">
        <v>2850</v>
      </c>
      <c r="AJ144" s="52" t="s">
        <v>2851</v>
      </c>
      <c r="AK144" s="52" t="s">
        <v>2022</v>
      </c>
      <c r="AL144" s="52" t="s">
        <v>1728</v>
      </c>
      <c r="AM144" s="52" t="s">
        <v>587</v>
      </c>
      <c r="AN144" s="52" t="s">
        <v>1728</v>
      </c>
      <c r="AO144" s="52" t="s">
        <v>1483</v>
      </c>
      <c r="AP144" s="52">
        <v>9425.0</v>
      </c>
      <c r="AQ144" s="52">
        <v>13925.0</v>
      </c>
      <c r="AR144" s="52" t="s">
        <v>111</v>
      </c>
      <c r="AS144" s="69">
        <v>45686.0</v>
      </c>
      <c r="AT144" s="69">
        <v>45819.0</v>
      </c>
      <c r="AU144" s="69">
        <v>45686.0</v>
      </c>
      <c r="AV144" s="70">
        <v>45954.0</v>
      </c>
      <c r="AW144" s="52" t="s">
        <v>1483</v>
      </c>
      <c r="AX144" s="52" t="s">
        <v>587</v>
      </c>
      <c r="AY144" s="52">
        <v>268.0</v>
      </c>
      <c r="AZ144" s="52" t="s">
        <v>2010</v>
      </c>
      <c r="BA144" s="73" t="s">
        <v>2852</v>
      </c>
      <c r="BB144" s="69">
        <v>45686.0</v>
      </c>
      <c r="BC144" s="52" t="s">
        <v>666</v>
      </c>
      <c r="BD144" s="52">
        <v>4.0045111E7</v>
      </c>
      <c r="BE144" s="52" t="s">
        <v>2853</v>
      </c>
      <c r="BF144" s="52" t="s">
        <v>667</v>
      </c>
      <c r="BG144" s="52" t="s">
        <v>2041</v>
      </c>
      <c r="BH144" s="52" t="s">
        <v>2854</v>
      </c>
      <c r="BI144" s="52" t="s">
        <v>2027</v>
      </c>
    </row>
    <row r="145">
      <c r="A145" s="52">
        <v>119.0</v>
      </c>
      <c r="B145" s="52" t="s">
        <v>669</v>
      </c>
      <c r="C145" s="52" t="s">
        <v>2005</v>
      </c>
      <c r="D145" s="52">
        <v>7.9972544E7</v>
      </c>
      <c r="E145" s="52" t="s">
        <v>1908</v>
      </c>
      <c r="F145" s="69">
        <v>45684.0</v>
      </c>
      <c r="G145" s="52" t="s">
        <v>671</v>
      </c>
      <c r="H145" s="52" t="s">
        <v>2299</v>
      </c>
      <c r="I145" s="52" t="s">
        <v>2299</v>
      </c>
      <c r="J145" s="52" t="s">
        <v>1478</v>
      </c>
      <c r="K145" s="52" t="s">
        <v>2069</v>
      </c>
      <c r="L145" s="52" t="s">
        <v>2010</v>
      </c>
      <c r="N145" s="52" t="s">
        <v>2010</v>
      </c>
      <c r="O145" s="69">
        <v>45680.0</v>
      </c>
      <c r="P145" s="52">
        <v>2.0251300006153E13</v>
      </c>
      <c r="Q145" s="52" t="s">
        <v>2069</v>
      </c>
      <c r="R145" s="69">
        <v>45680.0</v>
      </c>
      <c r="S145" s="52" t="s">
        <v>2855</v>
      </c>
      <c r="T145" s="52" t="s">
        <v>2013</v>
      </c>
      <c r="U145" s="52" t="s">
        <v>2856</v>
      </c>
      <c r="V145" s="52" t="s">
        <v>581</v>
      </c>
      <c r="W145" s="52" t="s">
        <v>1471</v>
      </c>
      <c r="X145" s="52" t="s">
        <v>583</v>
      </c>
      <c r="Y145" s="52" t="s">
        <v>670</v>
      </c>
      <c r="Z145" s="52" t="s">
        <v>2081</v>
      </c>
      <c r="AA145" s="52" t="s">
        <v>2054</v>
      </c>
      <c r="AB145" s="52" t="s">
        <v>2032</v>
      </c>
      <c r="AC145" s="52" t="s">
        <v>2033</v>
      </c>
      <c r="AD145" s="52" t="s">
        <v>587</v>
      </c>
      <c r="AE145" s="52" t="s">
        <v>2019</v>
      </c>
      <c r="AF145" s="70">
        <v>28824.0</v>
      </c>
      <c r="AG145" s="52">
        <v>47.0</v>
      </c>
      <c r="AH145" s="52" t="s">
        <v>1625</v>
      </c>
      <c r="AI145" s="52" t="s">
        <v>2857</v>
      </c>
      <c r="AJ145" s="52" t="s">
        <v>2858</v>
      </c>
      <c r="AK145" s="52" t="s">
        <v>2022</v>
      </c>
      <c r="AL145" s="52" t="s">
        <v>1730</v>
      </c>
      <c r="AM145" s="52" t="s">
        <v>587</v>
      </c>
      <c r="AN145" s="52" t="s">
        <v>1730</v>
      </c>
      <c r="AO145" s="52" t="s">
        <v>1483</v>
      </c>
      <c r="AP145" s="52">
        <v>10925.0</v>
      </c>
      <c r="AQ145" s="52">
        <v>13825.0</v>
      </c>
      <c r="AR145" s="52" t="s">
        <v>62</v>
      </c>
      <c r="AS145" s="69">
        <v>45686.0</v>
      </c>
      <c r="AT145" s="69">
        <v>45928.0</v>
      </c>
      <c r="AU145" s="69">
        <v>45686.0</v>
      </c>
      <c r="AV145" s="69">
        <v>45928.0</v>
      </c>
      <c r="AW145" s="52" t="s">
        <v>1483</v>
      </c>
      <c r="AX145" s="52" t="s">
        <v>587</v>
      </c>
      <c r="AY145" s="52">
        <v>242.0</v>
      </c>
      <c r="AZ145" s="52" t="s">
        <v>2010</v>
      </c>
      <c r="BA145" s="73" t="s">
        <v>2859</v>
      </c>
      <c r="BB145" s="69">
        <v>45686.0</v>
      </c>
      <c r="BC145" s="52" t="s">
        <v>672</v>
      </c>
      <c r="BD145" s="52">
        <v>7.9565032E7</v>
      </c>
      <c r="BE145" s="52" t="s">
        <v>2534</v>
      </c>
      <c r="BF145" s="52" t="s">
        <v>193</v>
      </c>
      <c r="BG145" s="52" t="s">
        <v>2041</v>
      </c>
      <c r="BH145" s="52" t="s">
        <v>2860</v>
      </c>
      <c r="BI145" s="52" t="s">
        <v>2027</v>
      </c>
    </row>
    <row r="146">
      <c r="A146" s="52">
        <v>120.0</v>
      </c>
      <c r="B146" s="52" t="s">
        <v>674</v>
      </c>
      <c r="C146" s="52" t="s">
        <v>2005</v>
      </c>
      <c r="D146" s="52">
        <v>1.020751785E9</v>
      </c>
      <c r="E146" s="52" t="s">
        <v>1908</v>
      </c>
      <c r="F146" s="69">
        <v>45684.0</v>
      </c>
      <c r="G146" s="52" t="s">
        <v>676</v>
      </c>
      <c r="H146" s="52" t="s">
        <v>2299</v>
      </c>
      <c r="I146" s="52" t="s">
        <v>2299</v>
      </c>
      <c r="J146" s="52" t="s">
        <v>1478</v>
      </c>
      <c r="K146" s="52" t="s">
        <v>2069</v>
      </c>
      <c r="L146" s="52" t="s">
        <v>2010</v>
      </c>
      <c r="N146" s="52" t="s">
        <v>2010</v>
      </c>
      <c r="O146" s="69">
        <v>45680.0</v>
      </c>
      <c r="P146" s="52">
        <v>2.0251300006163E13</v>
      </c>
      <c r="Q146" s="52" t="s">
        <v>2069</v>
      </c>
      <c r="R146" s="69">
        <v>45680.0</v>
      </c>
      <c r="S146" s="52" t="s">
        <v>2861</v>
      </c>
      <c r="T146" s="52" t="s">
        <v>2013</v>
      </c>
      <c r="U146" s="52" t="s">
        <v>2862</v>
      </c>
      <c r="V146" s="52" t="s">
        <v>581</v>
      </c>
      <c r="W146" s="52" t="s">
        <v>1471</v>
      </c>
      <c r="X146" s="52" t="s">
        <v>583</v>
      </c>
      <c r="Y146" s="52" t="s">
        <v>675</v>
      </c>
      <c r="Z146" s="52" t="s">
        <v>2015</v>
      </c>
      <c r="AA146" s="52" t="s">
        <v>2016</v>
      </c>
      <c r="AB146" s="52" t="s">
        <v>2017</v>
      </c>
      <c r="AC146" s="52" t="s">
        <v>2054</v>
      </c>
      <c r="AD146" s="52" t="s">
        <v>587</v>
      </c>
      <c r="AE146" s="52" t="s">
        <v>2093</v>
      </c>
      <c r="AF146" s="69">
        <v>32991.0</v>
      </c>
      <c r="AG146" s="52">
        <v>35.0</v>
      </c>
      <c r="AH146" s="52" t="s">
        <v>1731</v>
      </c>
      <c r="AI146" s="52" t="s">
        <v>2863</v>
      </c>
      <c r="AJ146" s="52" t="s">
        <v>2864</v>
      </c>
      <c r="AK146" s="52" t="s">
        <v>2022</v>
      </c>
      <c r="AL146" s="52" t="s">
        <v>1732</v>
      </c>
      <c r="AM146" s="52" t="s">
        <v>587</v>
      </c>
      <c r="AN146" s="52" t="s">
        <v>1732</v>
      </c>
      <c r="AO146" s="52" t="s">
        <v>1483</v>
      </c>
      <c r="AP146" s="52">
        <v>12125.0</v>
      </c>
      <c r="AQ146" s="52">
        <v>14025.0</v>
      </c>
      <c r="AR146" s="52" t="s">
        <v>191</v>
      </c>
      <c r="AS146" s="69">
        <v>45686.0</v>
      </c>
      <c r="AT146" s="69">
        <v>45866.0</v>
      </c>
      <c r="AU146" s="69">
        <v>45686.0</v>
      </c>
      <c r="AV146" s="69">
        <v>45866.0</v>
      </c>
      <c r="AW146" s="52" t="s">
        <v>1483</v>
      </c>
      <c r="AX146" s="52" t="s">
        <v>587</v>
      </c>
      <c r="AY146" s="52">
        <v>180.0</v>
      </c>
      <c r="AZ146" s="52" t="s">
        <v>2010</v>
      </c>
      <c r="BA146" s="73" t="s">
        <v>2865</v>
      </c>
      <c r="BB146" s="69">
        <v>45686.0</v>
      </c>
      <c r="BC146" s="52" t="s">
        <v>375</v>
      </c>
      <c r="BD146" s="52">
        <v>1.01842287E9</v>
      </c>
      <c r="BE146" s="52" t="s">
        <v>2453</v>
      </c>
      <c r="BF146" s="52" t="s">
        <v>193</v>
      </c>
      <c r="BG146" s="52" t="s">
        <v>2041</v>
      </c>
      <c r="BH146" s="52" t="s">
        <v>2866</v>
      </c>
      <c r="BI146" s="52" t="s">
        <v>2027</v>
      </c>
    </row>
    <row r="147">
      <c r="A147" s="52">
        <v>121.0</v>
      </c>
      <c r="B147" s="52" t="s">
        <v>678</v>
      </c>
      <c r="C147" s="52" t="s">
        <v>2005</v>
      </c>
      <c r="D147" s="52">
        <v>1.024554244E9</v>
      </c>
      <c r="E147" s="52" t="s">
        <v>1908</v>
      </c>
      <c r="F147" s="69">
        <v>45684.0</v>
      </c>
      <c r="G147" s="52" t="s">
        <v>680</v>
      </c>
      <c r="H147" s="52" t="s">
        <v>2299</v>
      </c>
      <c r="I147" s="52" t="s">
        <v>2299</v>
      </c>
      <c r="J147" s="52" t="s">
        <v>1478</v>
      </c>
      <c r="K147" s="52" t="s">
        <v>2069</v>
      </c>
      <c r="L147" s="52" t="s">
        <v>2010</v>
      </c>
      <c r="N147" s="52" t="s">
        <v>2010</v>
      </c>
      <c r="O147" s="69">
        <v>45680.0</v>
      </c>
      <c r="P147" s="52">
        <v>2.0251300006463E13</v>
      </c>
      <c r="Q147" s="52" t="s">
        <v>2069</v>
      </c>
      <c r="R147" s="69">
        <v>45681.0</v>
      </c>
      <c r="S147" s="52" t="s">
        <v>2867</v>
      </c>
      <c r="T147" s="52" t="s">
        <v>2013</v>
      </c>
      <c r="U147" s="52" t="s">
        <v>2868</v>
      </c>
      <c r="V147" s="52" t="s">
        <v>581</v>
      </c>
      <c r="W147" s="52" t="s">
        <v>1471</v>
      </c>
      <c r="X147" s="52" t="s">
        <v>583</v>
      </c>
      <c r="Y147" s="52" t="s">
        <v>679</v>
      </c>
      <c r="Z147" s="52" t="s">
        <v>2081</v>
      </c>
      <c r="AA147" s="52" t="s">
        <v>2054</v>
      </c>
      <c r="AB147" s="52" t="s">
        <v>2228</v>
      </c>
      <c r="AC147" s="52" t="s">
        <v>2114</v>
      </c>
      <c r="AD147" s="52" t="s">
        <v>587</v>
      </c>
      <c r="AE147" s="52" t="s">
        <v>2093</v>
      </c>
      <c r="AF147" s="69">
        <v>34533.0</v>
      </c>
      <c r="AG147" s="52">
        <v>31.0</v>
      </c>
      <c r="AH147" s="52" t="s">
        <v>1625</v>
      </c>
      <c r="AI147" s="52" t="s">
        <v>2869</v>
      </c>
      <c r="AJ147" s="52" t="s">
        <v>2870</v>
      </c>
      <c r="AK147" s="52" t="s">
        <v>2022</v>
      </c>
      <c r="AL147" s="52" t="s">
        <v>1733</v>
      </c>
      <c r="AM147" s="52" t="s">
        <v>587</v>
      </c>
      <c r="AN147" s="52" t="s">
        <v>1733</v>
      </c>
      <c r="AO147" s="52" t="s">
        <v>1483</v>
      </c>
      <c r="AP147" s="52">
        <v>11025.0</v>
      </c>
      <c r="AQ147" s="52">
        <v>12725.0</v>
      </c>
      <c r="AR147" s="52" t="s">
        <v>62</v>
      </c>
      <c r="AS147" s="69">
        <v>45685.0</v>
      </c>
      <c r="AT147" s="70">
        <v>46018.0</v>
      </c>
      <c r="AU147" s="69">
        <v>45685.0</v>
      </c>
      <c r="AV147" s="70">
        <v>46018.0</v>
      </c>
      <c r="AW147" s="52" t="s">
        <v>1483</v>
      </c>
      <c r="AX147" s="52" t="s">
        <v>587</v>
      </c>
      <c r="AY147" s="52">
        <v>333.0</v>
      </c>
      <c r="AZ147" s="52" t="s">
        <v>2010</v>
      </c>
      <c r="BA147" s="73" t="s">
        <v>2871</v>
      </c>
      <c r="BB147" s="69">
        <v>45685.0</v>
      </c>
      <c r="BC147" s="52" t="s">
        <v>672</v>
      </c>
      <c r="BD147" s="52">
        <v>7.9565032E7</v>
      </c>
      <c r="BE147" s="52" t="s">
        <v>2534</v>
      </c>
      <c r="BF147" s="52" t="s">
        <v>193</v>
      </c>
      <c r="BG147" s="52" t="s">
        <v>2041</v>
      </c>
      <c r="BH147" s="52" t="s">
        <v>2872</v>
      </c>
      <c r="BI147" s="52" t="s">
        <v>2027</v>
      </c>
    </row>
    <row r="148">
      <c r="A148" s="52">
        <v>122.0</v>
      </c>
      <c r="B148" s="52" t="s">
        <v>682</v>
      </c>
      <c r="C148" s="52" t="s">
        <v>2005</v>
      </c>
      <c r="D148" s="52">
        <v>5.3134639E7</v>
      </c>
      <c r="E148" s="52" t="s">
        <v>1908</v>
      </c>
      <c r="F148" s="69">
        <v>45684.0</v>
      </c>
      <c r="G148" s="52" t="s">
        <v>684</v>
      </c>
      <c r="H148" s="52" t="s">
        <v>2299</v>
      </c>
      <c r="I148" s="52" t="s">
        <v>2299</v>
      </c>
      <c r="J148" s="52" t="s">
        <v>1478</v>
      </c>
      <c r="K148" s="52" t="s">
        <v>2029</v>
      </c>
      <c r="L148" s="52" t="s">
        <v>2010</v>
      </c>
      <c r="N148" s="52" t="s">
        <v>2010</v>
      </c>
      <c r="O148" s="69">
        <v>45681.0</v>
      </c>
      <c r="P148" s="52">
        <v>2.0251010006503E13</v>
      </c>
      <c r="Q148" s="52" t="s">
        <v>2029</v>
      </c>
      <c r="R148" s="69">
        <v>45681.0</v>
      </c>
      <c r="S148" s="52" t="s">
        <v>2873</v>
      </c>
      <c r="T148" s="52" t="s">
        <v>2013</v>
      </c>
      <c r="U148" s="52" t="s">
        <v>2874</v>
      </c>
      <c r="V148" s="52" t="s">
        <v>581</v>
      </c>
      <c r="W148" s="52" t="s">
        <v>1471</v>
      </c>
      <c r="X148" s="52" t="s">
        <v>583</v>
      </c>
      <c r="Y148" s="52" t="s">
        <v>683</v>
      </c>
      <c r="Z148" s="52" t="s">
        <v>2015</v>
      </c>
      <c r="AA148" s="52" t="s">
        <v>2016</v>
      </c>
      <c r="AB148" s="52" t="s">
        <v>2017</v>
      </c>
      <c r="AC148" s="52" t="s">
        <v>2018</v>
      </c>
      <c r="AD148" s="52" t="s">
        <v>587</v>
      </c>
      <c r="AE148" s="52" t="s">
        <v>2093</v>
      </c>
      <c r="AF148" s="69">
        <v>31284.0</v>
      </c>
      <c r="AG148" s="52">
        <v>40.0</v>
      </c>
      <c r="AH148" s="52" t="s">
        <v>1532</v>
      </c>
      <c r="AI148" s="52" t="s">
        <v>2875</v>
      </c>
      <c r="AJ148" s="52" t="s">
        <v>2876</v>
      </c>
      <c r="AK148" s="52" t="s">
        <v>2022</v>
      </c>
      <c r="AL148" s="52" t="s">
        <v>1735</v>
      </c>
      <c r="AM148" s="52" t="s">
        <v>587</v>
      </c>
      <c r="AN148" s="52" t="s">
        <v>1735</v>
      </c>
      <c r="AO148" s="52" t="s">
        <v>1483</v>
      </c>
      <c r="AP148" s="52">
        <v>16125.0</v>
      </c>
      <c r="AQ148" s="52">
        <v>13025.0</v>
      </c>
      <c r="AR148" s="52" t="s">
        <v>203</v>
      </c>
      <c r="AS148" s="69">
        <v>45685.0</v>
      </c>
      <c r="AT148" s="70">
        <v>46018.0</v>
      </c>
      <c r="AU148" s="69">
        <v>45685.0</v>
      </c>
      <c r="AV148" s="70">
        <v>46018.0</v>
      </c>
      <c r="AW148" s="52" t="s">
        <v>1483</v>
      </c>
      <c r="AX148" s="52" t="s">
        <v>587</v>
      </c>
      <c r="AY148" s="52">
        <v>333.0</v>
      </c>
      <c r="AZ148" s="52" t="s">
        <v>2010</v>
      </c>
      <c r="BA148" s="73" t="s">
        <v>2877</v>
      </c>
      <c r="BB148" s="69">
        <v>45685.0</v>
      </c>
      <c r="BC148" s="52" t="s">
        <v>685</v>
      </c>
      <c r="BD148" s="52">
        <v>1.012353713E9</v>
      </c>
      <c r="BE148" s="52" t="s">
        <v>2878</v>
      </c>
      <c r="BF148" s="52" t="s">
        <v>205</v>
      </c>
      <c r="BG148" s="52" t="s">
        <v>2041</v>
      </c>
      <c r="BH148" s="52" t="s">
        <v>2879</v>
      </c>
      <c r="BI148" s="52" t="s">
        <v>2027</v>
      </c>
    </row>
    <row r="149">
      <c r="A149" s="52">
        <v>123.0</v>
      </c>
      <c r="B149" s="52" t="s">
        <v>687</v>
      </c>
      <c r="C149" s="52" t="s">
        <v>2005</v>
      </c>
      <c r="D149" s="52">
        <v>1.069759231E9</v>
      </c>
      <c r="E149" s="52" t="s">
        <v>1908</v>
      </c>
      <c r="F149" s="69">
        <v>45684.0</v>
      </c>
      <c r="G149" s="52" t="s">
        <v>689</v>
      </c>
      <c r="H149" s="52" t="s">
        <v>2121</v>
      </c>
      <c r="I149" s="52" t="s">
        <v>2121</v>
      </c>
      <c r="J149" s="52" t="s">
        <v>1478</v>
      </c>
      <c r="K149" s="52" t="s">
        <v>2515</v>
      </c>
      <c r="L149" s="52" t="s">
        <v>2010</v>
      </c>
      <c r="N149" s="52" t="s">
        <v>2010</v>
      </c>
      <c r="O149" s="69">
        <v>45681.0</v>
      </c>
      <c r="P149" s="52">
        <v>2.0251400006513E13</v>
      </c>
      <c r="Q149" s="52" t="s">
        <v>2515</v>
      </c>
      <c r="R149" s="69">
        <v>45681.0</v>
      </c>
      <c r="S149" s="52" t="s">
        <v>2880</v>
      </c>
      <c r="T149" s="52" t="s">
        <v>2013</v>
      </c>
      <c r="U149" s="52" t="s">
        <v>2881</v>
      </c>
      <c r="V149" s="52" t="s">
        <v>581</v>
      </c>
      <c r="W149" s="52" t="s">
        <v>1471</v>
      </c>
      <c r="X149" s="52" t="s">
        <v>583</v>
      </c>
      <c r="Y149" s="52" t="s">
        <v>688</v>
      </c>
      <c r="Z149" s="52" t="s">
        <v>2081</v>
      </c>
      <c r="AA149" s="52" t="s">
        <v>2882</v>
      </c>
      <c r="AB149" s="52" t="s">
        <v>2883</v>
      </c>
      <c r="AC149" s="52" t="s">
        <v>2018</v>
      </c>
      <c r="AD149" s="52" t="s">
        <v>587</v>
      </c>
      <c r="AE149" s="52" t="s">
        <v>2884</v>
      </c>
      <c r="AF149" s="69">
        <v>35577.0</v>
      </c>
      <c r="AG149" s="52">
        <v>28.0</v>
      </c>
      <c r="AH149" s="52" t="s">
        <v>1724</v>
      </c>
      <c r="AI149" s="52" t="s">
        <v>2885</v>
      </c>
      <c r="AJ149" s="52" t="s">
        <v>2886</v>
      </c>
      <c r="AK149" s="52" t="s">
        <v>2022</v>
      </c>
      <c r="AL149" s="52" t="s">
        <v>1736</v>
      </c>
      <c r="AM149" s="52" t="s">
        <v>587</v>
      </c>
      <c r="AN149" s="52" t="s">
        <v>1736</v>
      </c>
      <c r="AO149" s="52" t="s">
        <v>1483</v>
      </c>
      <c r="AP149" s="52">
        <v>15225.0</v>
      </c>
      <c r="AQ149" s="52">
        <v>13425.0</v>
      </c>
      <c r="AR149" s="52" t="s">
        <v>111</v>
      </c>
      <c r="AS149" s="69">
        <v>45686.0</v>
      </c>
      <c r="AT149" s="70">
        <v>46022.0</v>
      </c>
      <c r="AU149" s="69">
        <v>45686.0</v>
      </c>
      <c r="AV149" s="70">
        <v>46022.0</v>
      </c>
      <c r="AW149" s="52" t="s">
        <v>1483</v>
      </c>
      <c r="AX149" s="52" t="s">
        <v>587</v>
      </c>
      <c r="AY149" s="52">
        <v>336.0</v>
      </c>
      <c r="AZ149" s="52" t="s">
        <v>2010</v>
      </c>
      <c r="BA149" s="73" t="s">
        <v>2887</v>
      </c>
      <c r="BB149" s="69">
        <v>45686.0</v>
      </c>
      <c r="BC149" s="52" t="s">
        <v>666</v>
      </c>
      <c r="BD149" s="52">
        <v>4.0045111E7</v>
      </c>
      <c r="BE149" s="52" t="s">
        <v>2853</v>
      </c>
      <c r="BF149" s="52" t="s">
        <v>667</v>
      </c>
      <c r="BG149" s="52" t="s">
        <v>2041</v>
      </c>
      <c r="BH149" s="52" t="s">
        <v>2888</v>
      </c>
      <c r="BI149" s="52" t="s">
        <v>2027</v>
      </c>
    </row>
    <row r="150">
      <c r="A150" s="52">
        <v>124.0</v>
      </c>
      <c r="B150" s="52" t="s">
        <v>691</v>
      </c>
      <c r="C150" s="52" t="s">
        <v>2005</v>
      </c>
      <c r="D150" s="52">
        <v>1.13065411E9</v>
      </c>
      <c r="E150" s="52" t="s">
        <v>1908</v>
      </c>
      <c r="F150" s="69">
        <v>45684.0</v>
      </c>
      <c r="G150" s="52" t="s">
        <v>693</v>
      </c>
      <c r="H150" s="52" t="s">
        <v>2143</v>
      </c>
      <c r="I150" s="52" t="s">
        <v>2143</v>
      </c>
      <c r="J150" s="52" t="s">
        <v>1478</v>
      </c>
      <c r="K150" s="52" t="s">
        <v>2029</v>
      </c>
      <c r="L150" s="52" t="s">
        <v>2010</v>
      </c>
      <c r="N150" s="52" t="s">
        <v>2010</v>
      </c>
      <c r="O150" s="69">
        <v>45681.0</v>
      </c>
      <c r="P150" s="52">
        <v>2.0251010006533E13</v>
      </c>
      <c r="Q150" s="52" t="s">
        <v>2029</v>
      </c>
      <c r="R150" s="69">
        <v>45681.0</v>
      </c>
      <c r="S150" s="52" t="s">
        <v>2889</v>
      </c>
      <c r="T150" s="52" t="s">
        <v>2013</v>
      </c>
      <c r="U150" s="52" t="s">
        <v>2890</v>
      </c>
      <c r="V150" s="52" t="s">
        <v>581</v>
      </c>
      <c r="W150" s="52" t="s">
        <v>1471</v>
      </c>
      <c r="X150" s="52" t="s">
        <v>583</v>
      </c>
      <c r="Y150" s="52" t="s">
        <v>692</v>
      </c>
      <c r="Z150" s="52" t="s">
        <v>2081</v>
      </c>
      <c r="AA150" s="52" t="s">
        <v>2016</v>
      </c>
      <c r="AB150" s="52" t="s">
        <v>2017</v>
      </c>
      <c r="AC150" s="52" t="s">
        <v>2054</v>
      </c>
      <c r="AD150" s="52" t="s">
        <v>587</v>
      </c>
      <c r="AE150" s="52" t="s">
        <v>2252</v>
      </c>
      <c r="AF150" s="69">
        <v>31995.0</v>
      </c>
      <c r="AG150" s="52">
        <v>38.0</v>
      </c>
      <c r="AH150" s="52" t="s">
        <v>1504</v>
      </c>
      <c r="AI150" s="52" t="s">
        <v>2891</v>
      </c>
      <c r="AJ150" s="52" t="s">
        <v>2892</v>
      </c>
      <c r="AK150" s="52" t="s">
        <v>2022</v>
      </c>
      <c r="AL150" s="52" t="s">
        <v>1735</v>
      </c>
      <c r="AM150" s="52" t="s">
        <v>587</v>
      </c>
      <c r="AN150" s="52" t="s">
        <v>1735</v>
      </c>
      <c r="AO150" s="52" t="s">
        <v>1483</v>
      </c>
      <c r="AP150" s="52">
        <v>16025.0</v>
      </c>
      <c r="AQ150" s="52">
        <v>13725.0</v>
      </c>
      <c r="AR150" s="52" t="s">
        <v>210</v>
      </c>
      <c r="AS150" s="69">
        <v>45686.0</v>
      </c>
      <c r="AT150" s="70">
        <v>46019.0</v>
      </c>
      <c r="AU150" s="69">
        <v>45686.0</v>
      </c>
      <c r="AV150" s="70">
        <v>46019.0</v>
      </c>
      <c r="AW150" s="52" t="s">
        <v>1483</v>
      </c>
      <c r="AX150" s="52" t="s">
        <v>587</v>
      </c>
      <c r="AY150" s="52">
        <v>333.0</v>
      </c>
      <c r="AZ150" s="52" t="s">
        <v>2010</v>
      </c>
      <c r="BA150" s="73" t="s">
        <v>2893</v>
      </c>
      <c r="BB150" s="69">
        <v>45686.0</v>
      </c>
      <c r="BC150" s="52" t="s">
        <v>127</v>
      </c>
      <c r="BD150" s="52">
        <v>8.3169069E7</v>
      </c>
      <c r="BE150" s="52" t="s">
        <v>2150</v>
      </c>
      <c r="BF150" s="52" t="s">
        <v>205</v>
      </c>
      <c r="BG150" s="52" t="s">
        <v>2041</v>
      </c>
      <c r="BH150" s="52" t="s">
        <v>582</v>
      </c>
      <c r="BI150" s="52" t="s">
        <v>2027</v>
      </c>
    </row>
    <row r="151">
      <c r="A151" s="52">
        <v>125.0</v>
      </c>
      <c r="B151" s="52" t="s">
        <v>695</v>
      </c>
      <c r="C151" s="52" t="s">
        <v>2005</v>
      </c>
      <c r="D151" s="52">
        <v>1.032414974E9</v>
      </c>
      <c r="E151" s="52" t="s">
        <v>1908</v>
      </c>
      <c r="F151" s="69">
        <v>45691.0</v>
      </c>
      <c r="G151" s="52" t="s">
        <v>697</v>
      </c>
      <c r="H151" s="52" t="s">
        <v>2088</v>
      </c>
      <c r="I151" s="52" t="s">
        <v>2088</v>
      </c>
      <c r="J151" s="52" t="s">
        <v>1478</v>
      </c>
      <c r="K151" s="52" t="s">
        <v>2515</v>
      </c>
      <c r="L151" s="52" t="s">
        <v>2010</v>
      </c>
      <c r="N151" s="52" t="s">
        <v>2010</v>
      </c>
      <c r="O151" s="69">
        <v>45681.0</v>
      </c>
      <c r="P151" s="52">
        <v>2.0251000006573E13</v>
      </c>
      <c r="Q151" s="52" t="s">
        <v>2515</v>
      </c>
      <c r="R151" s="69">
        <v>45681.0</v>
      </c>
      <c r="S151" s="52" t="s">
        <v>2894</v>
      </c>
      <c r="T151" s="52" t="s">
        <v>2013</v>
      </c>
      <c r="U151" s="52" t="s">
        <v>2895</v>
      </c>
      <c r="V151" s="52" t="s">
        <v>581</v>
      </c>
      <c r="W151" s="52" t="s">
        <v>1471</v>
      </c>
      <c r="X151" s="52" t="s">
        <v>583</v>
      </c>
      <c r="Y151" s="52" t="s">
        <v>696</v>
      </c>
      <c r="Z151" s="52" t="s">
        <v>2015</v>
      </c>
      <c r="AA151" s="52" t="s">
        <v>2054</v>
      </c>
      <c r="AB151" s="52" t="s">
        <v>2017</v>
      </c>
      <c r="AC151" s="52" t="s">
        <v>2054</v>
      </c>
      <c r="AD151" s="52" t="s">
        <v>587</v>
      </c>
      <c r="AE151" s="52" t="s">
        <v>2093</v>
      </c>
      <c r="AF151" s="69">
        <v>32314.0</v>
      </c>
      <c r="AG151" s="52">
        <v>37.0</v>
      </c>
      <c r="AH151" s="52" t="s">
        <v>1538</v>
      </c>
      <c r="AI151" s="52" t="s">
        <v>2896</v>
      </c>
      <c r="AJ151" s="52" t="s">
        <v>2897</v>
      </c>
      <c r="AK151" s="52" t="s">
        <v>2022</v>
      </c>
      <c r="AL151" s="52" t="s">
        <v>1627</v>
      </c>
      <c r="AM151" s="52" t="s">
        <v>587</v>
      </c>
      <c r="AN151" s="52" t="s">
        <v>1627</v>
      </c>
      <c r="AO151" s="52" t="s">
        <v>1483</v>
      </c>
      <c r="AP151" s="52">
        <v>17125.0</v>
      </c>
      <c r="AQ151" s="52">
        <v>18525.0</v>
      </c>
      <c r="AR151" s="52" t="s">
        <v>77</v>
      </c>
      <c r="AS151" s="69">
        <v>45693.0</v>
      </c>
      <c r="AT151" s="70">
        <v>46022.0</v>
      </c>
      <c r="AU151" s="69">
        <v>45693.0</v>
      </c>
      <c r="AV151" s="70">
        <v>46022.0</v>
      </c>
      <c r="AW151" s="52" t="s">
        <v>1483</v>
      </c>
      <c r="AX151" s="52" t="s">
        <v>587</v>
      </c>
      <c r="AY151" s="52">
        <v>329.0</v>
      </c>
      <c r="AZ151" s="52" t="s">
        <v>2010</v>
      </c>
      <c r="BA151" s="73" t="s">
        <v>2898</v>
      </c>
      <c r="BB151" s="69">
        <v>45693.0</v>
      </c>
      <c r="BC151" s="52" t="s">
        <v>375</v>
      </c>
      <c r="BD151" s="52">
        <v>1.01842287E9</v>
      </c>
      <c r="BE151" s="52" t="s">
        <v>2453</v>
      </c>
      <c r="BF151" s="52" t="s">
        <v>193</v>
      </c>
      <c r="BG151" s="52" t="s">
        <v>2041</v>
      </c>
      <c r="BH151" s="52" t="s">
        <v>589</v>
      </c>
      <c r="BI151" s="52" t="s">
        <v>2805</v>
      </c>
    </row>
    <row r="152">
      <c r="A152" s="52">
        <v>126.0</v>
      </c>
      <c r="B152" s="52" t="s">
        <v>700</v>
      </c>
      <c r="C152" s="52" t="s">
        <v>2005</v>
      </c>
      <c r="D152" s="52">
        <v>7.9217264E7</v>
      </c>
      <c r="E152" s="52" t="s">
        <v>1908</v>
      </c>
      <c r="F152" s="69">
        <v>45686.0</v>
      </c>
      <c r="G152" s="52" t="s">
        <v>702</v>
      </c>
      <c r="H152" s="52" t="s">
        <v>2446</v>
      </c>
      <c r="I152" s="52" t="s">
        <v>2299</v>
      </c>
      <c r="J152" s="52" t="s">
        <v>1478</v>
      </c>
      <c r="K152" s="52" t="s">
        <v>2069</v>
      </c>
      <c r="L152" s="52" t="s">
        <v>2010</v>
      </c>
      <c r="N152" s="52" t="s">
        <v>2010</v>
      </c>
      <c r="O152" s="52" t="s">
        <v>2899</v>
      </c>
      <c r="P152" s="52" t="s">
        <v>2900</v>
      </c>
      <c r="Q152" s="52" t="s">
        <v>2069</v>
      </c>
      <c r="R152" s="52" t="s">
        <v>2899</v>
      </c>
      <c r="S152" s="52" t="s">
        <v>2901</v>
      </c>
      <c r="T152" s="52" t="s">
        <v>2013</v>
      </c>
      <c r="U152" s="52" t="s">
        <v>2902</v>
      </c>
      <c r="V152" s="52" t="s">
        <v>581</v>
      </c>
      <c r="W152" s="52" t="s">
        <v>1471</v>
      </c>
      <c r="X152" s="52" t="s">
        <v>583</v>
      </c>
      <c r="Y152" s="52" t="s">
        <v>701</v>
      </c>
      <c r="Z152" s="52" t="s">
        <v>2081</v>
      </c>
      <c r="AA152" s="52" t="s">
        <v>2016</v>
      </c>
      <c r="AB152" s="52" t="s">
        <v>2228</v>
      </c>
      <c r="AC152" s="52" t="s">
        <v>2018</v>
      </c>
      <c r="AD152" s="52" t="s">
        <v>587</v>
      </c>
      <c r="AE152" s="52" t="s">
        <v>2093</v>
      </c>
      <c r="AF152" s="69">
        <v>29653.0</v>
      </c>
      <c r="AG152" s="52">
        <v>44.0</v>
      </c>
      <c r="AH152" s="52" t="s">
        <v>1739</v>
      </c>
      <c r="AI152" s="52" t="s">
        <v>2903</v>
      </c>
      <c r="AJ152" s="52" t="s">
        <v>2904</v>
      </c>
      <c r="AK152" s="52" t="s">
        <v>2022</v>
      </c>
      <c r="AL152" s="52" t="s">
        <v>1741</v>
      </c>
      <c r="AM152" s="52" t="s">
        <v>1742</v>
      </c>
      <c r="AN152" s="52" t="s">
        <v>1743</v>
      </c>
      <c r="AO152" s="52" t="s">
        <v>1483</v>
      </c>
      <c r="AP152" s="52">
        <v>12325.0</v>
      </c>
      <c r="AQ152" s="52">
        <v>16025.0</v>
      </c>
      <c r="AR152" s="52" t="s">
        <v>191</v>
      </c>
      <c r="AS152" s="69">
        <v>45688.0</v>
      </c>
      <c r="AT152" s="70">
        <v>46021.0</v>
      </c>
      <c r="AU152" s="69">
        <v>45688.0</v>
      </c>
      <c r="AV152" s="70">
        <v>46021.0</v>
      </c>
      <c r="AW152" s="52" t="s">
        <v>1483</v>
      </c>
      <c r="AX152" s="52" t="s">
        <v>587</v>
      </c>
      <c r="AY152" s="52">
        <v>333.0</v>
      </c>
      <c r="AZ152" s="52" t="s">
        <v>2010</v>
      </c>
      <c r="BA152" s="73" t="s">
        <v>2905</v>
      </c>
      <c r="BB152" s="69">
        <v>45688.0</v>
      </c>
      <c r="BC152" s="52" t="s">
        <v>375</v>
      </c>
      <c r="BD152" s="52">
        <v>1.01842287E9</v>
      </c>
      <c r="BE152" s="52" t="s">
        <v>2453</v>
      </c>
      <c r="BF152" s="52" t="s">
        <v>193</v>
      </c>
      <c r="BG152" s="52" t="s">
        <v>2041</v>
      </c>
      <c r="BH152" s="52" t="s">
        <v>594</v>
      </c>
      <c r="BI152" s="52" t="s">
        <v>2027</v>
      </c>
    </row>
    <row r="153">
      <c r="A153" s="52">
        <v>127.0</v>
      </c>
      <c r="B153" s="52" t="s">
        <v>704</v>
      </c>
      <c r="C153" s="52" t="s">
        <v>2005</v>
      </c>
      <c r="D153" s="52">
        <v>1.052394569E9</v>
      </c>
      <c r="E153" s="52" t="s">
        <v>1908</v>
      </c>
      <c r="F153" s="69">
        <v>45685.0</v>
      </c>
      <c r="G153" s="52" t="s">
        <v>706</v>
      </c>
      <c r="H153" s="52" t="s">
        <v>2042</v>
      </c>
      <c r="I153" s="52" t="s">
        <v>2042</v>
      </c>
      <c r="J153" s="52" t="s">
        <v>1478</v>
      </c>
      <c r="K153" s="52" t="s">
        <v>2612</v>
      </c>
      <c r="L153" s="52" t="s">
        <v>2010</v>
      </c>
      <c r="N153" s="52" t="s">
        <v>2010</v>
      </c>
      <c r="O153" s="69">
        <v>45682.0</v>
      </c>
      <c r="P153" s="52">
        <v>2.0251500006813E13</v>
      </c>
      <c r="Q153" s="52" t="s">
        <v>2612</v>
      </c>
      <c r="R153" s="69">
        <v>45684.0</v>
      </c>
      <c r="S153" s="52" t="s">
        <v>2906</v>
      </c>
      <c r="T153" s="52" t="s">
        <v>2013</v>
      </c>
      <c r="U153" s="52" t="s">
        <v>2907</v>
      </c>
      <c r="V153" s="52" t="s">
        <v>581</v>
      </c>
      <c r="W153" s="52" t="s">
        <v>1471</v>
      </c>
      <c r="X153" s="52" t="s">
        <v>583</v>
      </c>
      <c r="Y153" s="52" t="s">
        <v>705</v>
      </c>
      <c r="Z153" s="52" t="s">
        <v>2015</v>
      </c>
      <c r="AA153" s="52" t="s">
        <v>2016</v>
      </c>
      <c r="AB153" s="52" t="s">
        <v>2062</v>
      </c>
      <c r="AC153" s="52" t="s">
        <v>2018</v>
      </c>
      <c r="AD153" s="52" t="s">
        <v>587</v>
      </c>
      <c r="AE153" s="52" t="s">
        <v>2908</v>
      </c>
      <c r="AF153" s="69">
        <v>33464.0</v>
      </c>
      <c r="AG153" s="52">
        <v>34.0</v>
      </c>
      <c r="AH153" s="52" t="s">
        <v>1744</v>
      </c>
      <c r="AI153" s="52" t="s">
        <v>2909</v>
      </c>
      <c r="AJ153" s="52" t="s">
        <v>2910</v>
      </c>
      <c r="AK153" s="52" t="s">
        <v>2022</v>
      </c>
      <c r="AL153" s="52" t="s">
        <v>1745</v>
      </c>
      <c r="AM153" s="52" t="s">
        <v>587</v>
      </c>
      <c r="AN153" s="52" t="s">
        <v>1745</v>
      </c>
      <c r="AO153" s="52" t="s">
        <v>1483</v>
      </c>
      <c r="AP153" s="52">
        <v>13725.0</v>
      </c>
      <c r="AQ153" s="52">
        <v>14625.0</v>
      </c>
      <c r="AR153" s="52" t="s">
        <v>53</v>
      </c>
      <c r="AS153" s="69">
        <v>45688.0</v>
      </c>
      <c r="AT153" s="69">
        <v>45867.0</v>
      </c>
      <c r="AU153" s="69">
        <v>45688.0</v>
      </c>
      <c r="AV153" s="69">
        <v>45867.0</v>
      </c>
      <c r="AW153" s="52" t="s">
        <v>1483</v>
      </c>
      <c r="AX153" s="52" t="s">
        <v>587</v>
      </c>
      <c r="AY153" s="52">
        <v>179.0</v>
      </c>
      <c r="AZ153" s="52" t="s">
        <v>2010</v>
      </c>
      <c r="BA153" s="73" t="s">
        <v>2911</v>
      </c>
      <c r="BB153" s="69">
        <v>45688.0</v>
      </c>
      <c r="BC153" s="52" t="s">
        <v>707</v>
      </c>
      <c r="BD153" s="52">
        <v>1.015473886E9</v>
      </c>
      <c r="BE153" s="52" t="s">
        <v>2912</v>
      </c>
      <c r="BF153" s="52" t="s">
        <v>182</v>
      </c>
      <c r="BG153" s="52" t="s">
        <v>2041</v>
      </c>
      <c r="BH153" s="52" t="s">
        <v>598</v>
      </c>
      <c r="BI153" s="52" t="s">
        <v>2027</v>
      </c>
    </row>
    <row r="154">
      <c r="A154" s="52">
        <v>128.0</v>
      </c>
      <c r="B154" s="52" t="s">
        <v>709</v>
      </c>
      <c r="C154" s="52" t="s">
        <v>2005</v>
      </c>
      <c r="D154" s="52">
        <v>1.032461718E9</v>
      </c>
      <c r="E154" s="52" t="s">
        <v>1908</v>
      </c>
      <c r="F154" s="69">
        <v>45686.0</v>
      </c>
      <c r="G154" s="52" t="s">
        <v>711</v>
      </c>
      <c r="H154" s="52" t="s">
        <v>2042</v>
      </c>
      <c r="I154" s="52" t="s">
        <v>2042</v>
      </c>
      <c r="J154" s="52" t="s">
        <v>1478</v>
      </c>
      <c r="K154" s="52" t="s">
        <v>2612</v>
      </c>
      <c r="L154" s="52" t="s">
        <v>2010</v>
      </c>
      <c r="N154" s="52" t="s">
        <v>2010</v>
      </c>
      <c r="O154" s="69">
        <v>45681.0</v>
      </c>
      <c r="P154" s="52">
        <v>2.0251500006693E13</v>
      </c>
      <c r="Q154" s="52" t="s">
        <v>2612</v>
      </c>
      <c r="R154" s="69">
        <v>45684.0</v>
      </c>
      <c r="S154" s="52" t="s">
        <v>2913</v>
      </c>
      <c r="T154" s="52" t="s">
        <v>2013</v>
      </c>
      <c r="U154" s="52" t="s">
        <v>2914</v>
      </c>
      <c r="V154" s="52" t="s">
        <v>581</v>
      </c>
      <c r="W154" s="52" t="s">
        <v>1471</v>
      </c>
      <c r="X154" s="52" t="s">
        <v>583</v>
      </c>
      <c r="Y154" s="52" t="s">
        <v>710</v>
      </c>
      <c r="Z154" s="52" t="s">
        <v>2081</v>
      </c>
      <c r="AA154" s="52" t="s">
        <v>2016</v>
      </c>
      <c r="AB154" s="52" t="s">
        <v>2032</v>
      </c>
      <c r="AC154" s="52" t="s">
        <v>2018</v>
      </c>
      <c r="AD154" s="52" t="s">
        <v>587</v>
      </c>
      <c r="AE154" s="52" t="s">
        <v>2093</v>
      </c>
      <c r="AF154" s="69">
        <v>34338.0</v>
      </c>
      <c r="AG154" s="52">
        <v>31.0</v>
      </c>
      <c r="AH154" s="52" t="s">
        <v>1744</v>
      </c>
      <c r="AI154" s="52" t="s">
        <v>2915</v>
      </c>
      <c r="AJ154" s="52" t="s">
        <v>2916</v>
      </c>
      <c r="AK154" s="52" t="s">
        <v>2022</v>
      </c>
      <c r="AL154" s="52" t="s">
        <v>1745</v>
      </c>
      <c r="AM154" s="52" t="s">
        <v>587</v>
      </c>
      <c r="AN154" s="52" t="s">
        <v>1745</v>
      </c>
      <c r="AO154" s="52" t="s">
        <v>1483</v>
      </c>
      <c r="AP154" s="52">
        <v>14025.0</v>
      </c>
      <c r="AQ154" s="52">
        <v>15625.0</v>
      </c>
      <c r="AR154" s="52" t="s">
        <v>53</v>
      </c>
      <c r="AS154" s="69">
        <v>45688.0</v>
      </c>
      <c r="AT154" s="69">
        <v>45868.0</v>
      </c>
      <c r="AU154" s="69">
        <v>45688.0</v>
      </c>
      <c r="AV154" s="69">
        <v>45868.0</v>
      </c>
      <c r="AW154" s="52" t="s">
        <v>1483</v>
      </c>
      <c r="AX154" s="52" t="s">
        <v>587</v>
      </c>
      <c r="AY154" s="52">
        <v>180.0</v>
      </c>
      <c r="AZ154" s="52" t="s">
        <v>2010</v>
      </c>
      <c r="BA154" s="73" t="s">
        <v>2917</v>
      </c>
      <c r="BB154" s="69">
        <v>45688.0</v>
      </c>
      <c r="BC154" s="52" t="s">
        <v>712</v>
      </c>
      <c r="BD154" s="52">
        <v>1.032463433E9</v>
      </c>
      <c r="BE154" s="52" t="s">
        <v>2918</v>
      </c>
      <c r="BF154" s="52" t="s">
        <v>182</v>
      </c>
      <c r="BG154" s="52" t="s">
        <v>2041</v>
      </c>
      <c r="BH154" s="52" t="s">
        <v>602</v>
      </c>
      <c r="BI154" s="52" t="s">
        <v>2027</v>
      </c>
    </row>
    <row r="155">
      <c r="A155" s="52">
        <v>129.0</v>
      </c>
      <c r="B155" s="52" t="s">
        <v>714</v>
      </c>
      <c r="C155" s="52" t="s">
        <v>2005</v>
      </c>
      <c r="D155" s="52">
        <v>1.128424536E9</v>
      </c>
      <c r="E155" s="52" t="s">
        <v>1908</v>
      </c>
      <c r="F155" s="69">
        <v>45685.0</v>
      </c>
      <c r="G155" s="52" t="s">
        <v>716</v>
      </c>
      <c r="H155" s="52" t="s">
        <v>2042</v>
      </c>
      <c r="I155" s="52" t="s">
        <v>2042</v>
      </c>
      <c r="J155" s="52" t="s">
        <v>1478</v>
      </c>
      <c r="K155" s="52" t="s">
        <v>2612</v>
      </c>
      <c r="L155" s="52" t="s">
        <v>2010</v>
      </c>
      <c r="N155" s="52" t="s">
        <v>2010</v>
      </c>
      <c r="O155" s="69">
        <v>45681.0</v>
      </c>
      <c r="P155" s="52">
        <v>2.0251500006683E13</v>
      </c>
      <c r="Q155" s="52" t="s">
        <v>2612</v>
      </c>
      <c r="R155" s="69">
        <v>45684.0</v>
      </c>
      <c r="S155" s="52" t="s">
        <v>2919</v>
      </c>
      <c r="T155" s="52" t="s">
        <v>2013</v>
      </c>
      <c r="U155" s="52" t="s">
        <v>2920</v>
      </c>
      <c r="V155" s="52" t="s">
        <v>581</v>
      </c>
      <c r="W155" s="52" t="s">
        <v>1471</v>
      </c>
      <c r="X155" s="52" t="s">
        <v>583</v>
      </c>
      <c r="Y155" s="52" t="s">
        <v>715</v>
      </c>
      <c r="Z155" s="52" t="s">
        <v>2081</v>
      </c>
      <c r="AA155" s="52" t="s">
        <v>2016</v>
      </c>
      <c r="AB155" s="52" t="s">
        <v>2017</v>
      </c>
      <c r="AC155" s="52" t="s">
        <v>2054</v>
      </c>
      <c r="AD155" s="52" t="s">
        <v>587</v>
      </c>
      <c r="AE155" s="52" t="s">
        <v>2921</v>
      </c>
      <c r="AF155" s="70">
        <v>32096.0</v>
      </c>
      <c r="AG155" s="52">
        <v>38.0</v>
      </c>
      <c r="AH155" s="52" t="s">
        <v>1526</v>
      </c>
      <c r="AI155" s="52" t="s">
        <v>2922</v>
      </c>
      <c r="AJ155" s="52" t="s">
        <v>2923</v>
      </c>
      <c r="AK155" s="52" t="s">
        <v>2022</v>
      </c>
      <c r="AL155" s="52" t="s">
        <v>1745</v>
      </c>
      <c r="AM155" s="52" t="s">
        <v>587</v>
      </c>
      <c r="AN155" s="52" t="s">
        <v>1745</v>
      </c>
      <c r="AO155" s="52" t="s">
        <v>1483</v>
      </c>
      <c r="AP155" s="52">
        <v>13525.0</v>
      </c>
      <c r="AQ155" s="52">
        <v>14825.0</v>
      </c>
      <c r="AR155" s="52" t="s">
        <v>53</v>
      </c>
      <c r="AS155" s="69">
        <v>45688.0</v>
      </c>
      <c r="AT155" s="69">
        <v>45867.0</v>
      </c>
      <c r="AU155" s="69">
        <v>45688.0</v>
      </c>
      <c r="AV155" s="69">
        <v>45866.0</v>
      </c>
      <c r="AW155" s="52" t="s">
        <v>1483</v>
      </c>
      <c r="AX155" s="52" t="s">
        <v>587</v>
      </c>
      <c r="AY155" s="52">
        <v>178.0</v>
      </c>
      <c r="AZ155" s="52" t="s">
        <v>2010</v>
      </c>
      <c r="BA155" s="73" t="s">
        <v>2924</v>
      </c>
      <c r="BB155" s="69">
        <v>45688.0</v>
      </c>
      <c r="BC155" s="52" t="s">
        <v>717</v>
      </c>
      <c r="BD155" s="52">
        <v>1.013633828E9</v>
      </c>
      <c r="BE155" s="52" t="s">
        <v>2925</v>
      </c>
      <c r="BF155" s="52" t="s">
        <v>182</v>
      </c>
      <c r="BG155" s="52" t="s">
        <v>2041</v>
      </c>
      <c r="BH155" s="52" t="s">
        <v>2926</v>
      </c>
      <c r="BI155" s="52" t="s">
        <v>2027</v>
      </c>
    </row>
    <row r="156">
      <c r="A156" s="52">
        <v>130.0</v>
      </c>
      <c r="B156" s="52" t="s">
        <v>719</v>
      </c>
      <c r="C156" s="52" t="s">
        <v>2005</v>
      </c>
      <c r="D156" s="52">
        <v>1.070963356E9</v>
      </c>
      <c r="E156" s="52" t="s">
        <v>1908</v>
      </c>
      <c r="F156" s="69">
        <v>45685.0</v>
      </c>
      <c r="G156" s="52" t="s">
        <v>721</v>
      </c>
      <c r="H156" s="52" t="s">
        <v>2042</v>
      </c>
      <c r="I156" s="52" t="s">
        <v>2042</v>
      </c>
      <c r="J156" s="52" t="s">
        <v>1478</v>
      </c>
      <c r="K156" s="52" t="s">
        <v>2612</v>
      </c>
      <c r="L156" s="52" t="s">
        <v>2010</v>
      </c>
      <c r="N156" s="52" t="s">
        <v>2010</v>
      </c>
      <c r="O156" s="69">
        <v>45681.0</v>
      </c>
      <c r="P156" s="52">
        <v>2.0251500006673E13</v>
      </c>
      <c r="Q156" s="52" t="s">
        <v>2612</v>
      </c>
      <c r="R156" s="69">
        <v>45684.0</v>
      </c>
      <c r="S156" s="52" t="s">
        <v>2927</v>
      </c>
      <c r="T156" s="52" t="s">
        <v>2013</v>
      </c>
      <c r="U156" s="52" t="s">
        <v>2928</v>
      </c>
      <c r="V156" s="52" t="s">
        <v>581</v>
      </c>
      <c r="W156" s="52" t="s">
        <v>1471</v>
      </c>
      <c r="X156" s="52" t="s">
        <v>583</v>
      </c>
      <c r="Y156" s="52" t="s">
        <v>720</v>
      </c>
      <c r="Z156" s="52" t="s">
        <v>2081</v>
      </c>
      <c r="AA156" s="52" t="s">
        <v>2016</v>
      </c>
      <c r="AB156" s="52" t="s">
        <v>2062</v>
      </c>
      <c r="AC156" s="52" t="s">
        <v>2018</v>
      </c>
      <c r="AD156" s="52" t="s">
        <v>587</v>
      </c>
      <c r="AE156" s="52" t="s">
        <v>2929</v>
      </c>
      <c r="AF156" s="70">
        <v>28824.0</v>
      </c>
      <c r="AG156" s="52">
        <v>47.0</v>
      </c>
      <c r="AH156" s="52" t="s">
        <v>1526</v>
      </c>
      <c r="AI156" s="52" t="s">
        <v>2930</v>
      </c>
      <c r="AJ156" s="52" t="s">
        <v>2931</v>
      </c>
      <c r="AK156" s="52" t="s">
        <v>2022</v>
      </c>
      <c r="AL156" s="52" t="s">
        <v>1745</v>
      </c>
      <c r="AM156" s="52" t="s">
        <v>587</v>
      </c>
      <c r="AN156" s="52" t="s">
        <v>1745</v>
      </c>
      <c r="AO156" s="52" t="s">
        <v>1483</v>
      </c>
      <c r="AP156" s="52">
        <v>13925.0</v>
      </c>
      <c r="AQ156" s="52">
        <v>14725.0</v>
      </c>
      <c r="AR156" s="52" t="s">
        <v>53</v>
      </c>
      <c r="AS156" s="69">
        <v>45688.0</v>
      </c>
      <c r="AT156" s="69">
        <v>45867.0</v>
      </c>
      <c r="AU156" s="69">
        <v>45688.0</v>
      </c>
      <c r="AV156" s="69">
        <v>45867.0</v>
      </c>
      <c r="AW156" s="52" t="s">
        <v>1483</v>
      </c>
      <c r="AX156" s="52" t="s">
        <v>587</v>
      </c>
      <c r="AY156" s="52">
        <v>179.0</v>
      </c>
      <c r="AZ156" s="52" t="s">
        <v>2010</v>
      </c>
      <c r="BA156" s="73" t="s">
        <v>2932</v>
      </c>
      <c r="BB156" s="69">
        <v>45688.0</v>
      </c>
      <c r="BC156" s="52" t="s">
        <v>672</v>
      </c>
      <c r="BD156" s="52">
        <v>7.9565032E7</v>
      </c>
      <c r="BE156" s="52" t="s">
        <v>2534</v>
      </c>
      <c r="BF156" s="52" t="s">
        <v>193</v>
      </c>
      <c r="BG156" s="52" t="s">
        <v>2041</v>
      </c>
      <c r="BH156" s="52" t="s">
        <v>608</v>
      </c>
      <c r="BI156" s="52" t="s">
        <v>2027</v>
      </c>
    </row>
    <row r="157">
      <c r="A157" s="52">
        <v>131.0</v>
      </c>
      <c r="B157" s="52" t="s">
        <v>723</v>
      </c>
      <c r="C157" s="52" t="s">
        <v>2005</v>
      </c>
      <c r="D157" s="52">
        <v>1.1236019E7</v>
      </c>
      <c r="E157" s="52" t="s">
        <v>1908</v>
      </c>
      <c r="F157" s="69">
        <v>45685.0</v>
      </c>
      <c r="G157" s="52" t="s">
        <v>725</v>
      </c>
      <c r="H157" s="52" t="s">
        <v>2177</v>
      </c>
      <c r="I157" s="52" t="s">
        <v>2177</v>
      </c>
      <c r="J157" s="52" t="s">
        <v>1478</v>
      </c>
      <c r="K157" s="52" t="s">
        <v>2515</v>
      </c>
      <c r="L157" s="52" t="s">
        <v>2010</v>
      </c>
      <c r="N157" s="52" t="s">
        <v>2010</v>
      </c>
      <c r="O157" s="69">
        <v>45684.0</v>
      </c>
      <c r="P157" s="52">
        <v>2.0251700006823E13</v>
      </c>
      <c r="Q157" s="52" t="s">
        <v>2515</v>
      </c>
      <c r="R157" s="69">
        <v>45684.0</v>
      </c>
      <c r="S157" s="52" t="s">
        <v>2933</v>
      </c>
      <c r="T157" s="52" t="s">
        <v>2013</v>
      </c>
      <c r="U157" s="52" t="s">
        <v>2934</v>
      </c>
      <c r="V157" s="52" t="s">
        <v>581</v>
      </c>
      <c r="W157" s="52" t="s">
        <v>1471</v>
      </c>
      <c r="X157" s="52" t="s">
        <v>583</v>
      </c>
      <c r="Y157" s="52" t="s">
        <v>724</v>
      </c>
      <c r="Z157" s="52" t="s">
        <v>2081</v>
      </c>
      <c r="AA157" s="52" t="s">
        <v>2016</v>
      </c>
      <c r="AB157" s="52" t="s">
        <v>2032</v>
      </c>
      <c r="AC157" s="52" t="s">
        <v>2033</v>
      </c>
      <c r="AD157" s="52" t="s">
        <v>587</v>
      </c>
      <c r="AE157" s="52" t="s">
        <v>2935</v>
      </c>
      <c r="AF157" s="69">
        <v>31068.0</v>
      </c>
      <c r="AG157" s="52">
        <v>40.0</v>
      </c>
      <c r="AH157" s="52" t="s">
        <v>1712</v>
      </c>
      <c r="AI157" s="52" t="s">
        <v>2936</v>
      </c>
      <c r="AJ157" s="52" t="s">
        <v>2937</v>
      </c>
      <c r="AK157" s="52" t="s">
        <v>2022</v>
      </c>
      <c r="AL157" s="52" t="s">
        <v>1746</v>
      </c>
      <c r="AM157" s="52" t="s">
        <v>587</v>
      </c>
      <c r="AN157" s="52" t="s">
        <v>1746</v>
      </c>
      <c r="AO157" s="52" t="s">
        <v>1483</v>
      </c>
      <c r="AP157" s="52">
        <v>12825.0</v>
      </c>
      <c r="AQ157" s="52">
        <v>15225.0</v>
      </c>
      <c r="AR157" s="52" t="s">
        <v>152</v>
      </c>
      <c r="AS157" s="69">
        <v>45688.0</v>
      </c>
      <c r="AT157" s="69">
        <v>45874.0</v>
      </c>
      <c r="AU157" s="69">
        <v>45688.0</v>
      </c>
      <c r="AV157" s="69">
        <v>45874.0</v>
      </c>
      <c r="AW157" s="52" t="s">
        <v>1483</v>
      </c>
      <c r="AX157" s="52" t="s">
        <v>587</v>
      </c>
      <c r="AY157" s="52">
        <v>186.0</v>
      </c>
      <c r="AZ157" s="52" t="s">
        <v>2010</v>
      </c>
      <c r="BA157" s="73" t="s">
        <v>2938</v>
      </c>
      <c r="BB157" s="69">
        <v>45688.0</v>
      </c>
      <c r="BC157" s="52" t="s">
        <v>153</v>
      </c>
      <c r="BD157" s="52">
        <v>1.144026791E9</v>
      </c>
      <c r="BE157" s="52" t="s">
        <v>2184</v>
      </c>
      <c r="BF157" s="52" t="s">
        <v>154</v>
      </c>
      <c r="BG157" s="52" t="s">
        <v>2041</v>
      </c>
      <c r="BH157" s="52" t="s">
        <v>612</v>
      </c>
      <c r="BI157" s="52" t="s">
        <v>2027</v>
      </c>
    </row>
    <row r="158">
      <c r="A158" s="52">
        <v>132.0</v>
      </c>
      <c r="B158" s="52" t="s">
        <v>727</v>
      </c>
      <c r="C158" s="52" t="s">
        <v>2005</v>
      </c>
      <c r="D158" s="52">
        <v>7.97447E7</v>
      </c>
      <c r="E158" s="52" t="s">
        <v>1908</v>
      </c>
      <c r="F158" s="69">
        <v>45685.0</v>
      </c>
      <c r="G158" s="52" t="s">
        <v>729</v>
      </c>
      <c r="H158" s="52" t="s">
        <v>2008</v>
      </c>
      <c r="I158" s="52" t="s">
        <v>2008</v>
      </c>
      <c r="J158" s="52" t="s">
        <v>1478</v>
      </c>
      <c r="K158" s="52" t="s">
        <v>2098</v>
      </c>
      <c r="L158" s="52" t="s">
        <v>2010</v>
      </c>
      <c r="N158" s="52" t="s">
        <v>2010</v>
      </c>
      <c r="O158" s="69">
        <v>45684.0</v>
      </c>
      <c r="P158" s="52">
        <v>2.0251610006843E13</v>
      </c>
      <c r="Q158" s="52" t="s">
        <v>2098</v>
      </c>
      <c r="R158" s="69">
        <v>45684.0</v>
      </c>
      <c r="S158" s="52" t="s">
        <v>2939</v>
      </c>
      <c r="T158" s="52" t="s">
        <v>2013</v>
      </c>
      <c r="U158" s="52" t="s">
        <v>2940</v>
      </c>
      <c r="V158" s="52" t="s">
        <v>581</v>
      </c>
      <c r="W158" s="52" t="s">
        <v>1471</v>
      </c>
      <c r="X158" s="52" t="s">
        <v>583</v>
      </c>
      <c r="Y158" s="52" t="s">
        <v>728</v>
      </c>
      <c r="Z158" s="52" t="s">
        <v>2081</v>
      </c>
      <c r="AA158" s="52" t="s">
        <v>2016</v>
      </c>
      <c r="AB158" s="52" t="s">
        <v>2062</v>
      </c>
      <c r="AC158" s="52" t="s">
        <v>2033</v>
      </c>
      <c r="AD158" s="52" t="s">
        <v>587</v>
      </c>
      <c r="AE158" s="52" t="s">
        <v>2093</v>
      </c>
      <c r="AF158" s="69">
        <v>27908.0</v>
      </c>
      <c r="AG158" s="52">
        <v>49.0</v>
      </c>
      <c r="AH158" s="52" t="s">
        <v>1493</v>
      </c>
      <c r="AI158" s="52" t="s">
        <v>2941</v>
      </c>
      <c r="AJ158" s="52" t="s">
        <v>2942</v>
      </c>
      <c r="AK158" s="52" t="s">
        <v>2022</v>
      </c>
      <c r="AL158" s="52" t="s">
        <v>1747</v>
      </c>
      <c r="AM158" s="52" t="s">
        <v>1748</v>
      </c>
      <c r="AN158" s="52" t="s">
        <v>1749</v>
      </c>
      <c r="AO158" s="52" t="s">
        <v>1483</v>
      </c>
      <c r="AP158" s="52">
        <v>14425.0</v>
      </c>
      <c r="AQ158" s="52">
        <v>14325.0</v>
      </c>
      <c r="AR158" s="52" t="s">
        <v>730</v>
      </c>
      <c r="AS158" s="69">
        <v>45688.0</v>
      </c>
      <c r="AT158" s="70">
        <v>46022.0</v>
      </c>
      <c r="AU158" s="69">
        <v>45688.0</v>
      </c>
      <c r="AV158" s="70">
        <v>46022.0</v>
      </c>
      <c r="AW158" s="52" t="s">
        <v>1483</v>
      </c>
      <c r="AX158" s="52" t="s">
        <v>587</v>
      </c>
      <c r="AY158" s="52">
        <v>334.0</v>
      </c>
      <c r="AZ158" s="52" t="s">
        <v>2010</v>
      </c>
      <c r="BA158" s="73" t="s">
        <v>2943</v>
      </c>
      <c r="BB158" s="69">
        <v>45688.0</v>
      </c>
      <c r="BC158" s="52" t="s">
        <v>357</v>
      </c>
      <c r="BD158" s="70">
        <v>2.7805174E7</v>
      </c>
      <c r="BE158" s="52" t="s">
        <v>2380</v>
      </c>
      <c r="BF158" s="52" t="s">
        <v>165</v>
      </c>
      <c r="BG158" s="52" t="s">
        <v>2041</v>
      </c>
      <c r="BH158" s="52" t="s">
        <v>615</v>
      </c>
      <c r="BI158" s="52" t="s">
        <v>2027</v>
      </c>
    </row>
    <row r="159">
      <c r="A159" s="52">
        <v>133.0</v>
      </c>
      <c r="B159" s="52" t="s">
        <v>732</v>
      </c>
      <c r="C159" s="52" t="s">
        <v>2005</v>
      </c>
      <c r="D159" s="52">
        <v>1.030564407E9</v>
      </c>
      <c r="E159" s="52" t="s">
        <v>1908</v>
      </c>
      <c r="F159" s="69">
        <v>45685.0</v>
      </c>
      <c r="G159" s="52" t="s">
        <v>734</v>
      </c>
      <c r="H159" s="52" t="s">
        <v>2068</v>
      </c>
      <c r="I159" s="52" t="s">
        <v>2068</v>
      </c>
      <c r="J159" s="52" t="s">
        <v>1478</v>
      </c>
      <c r="K159" s="52" t="s">
        <v>2059</v>
      </c>
      <c r="L159" s="52" t="s">
        <v>2010</v>
      </c>
      <c r="N159" s="52" t="s">
        <v>2010</v>
      </c>
      <c r="O159" s="69">
        <v>45684.0</v>
      </c>
      <c r="P159" s="52">
        <v>2.0251900006953E13</v>
      </c>
      <c r="Q159" s="52" t="s">
        <v>2059</v>
      </c>
      <c r="R159" s="69">
        <v>45684.0</v>
      </c>
      <c r="S159" s="52" t="s">
        <v>2944</v>
      </c>
      <c r="T159" s="52" t="s">
        <v>2013</v>
      </c>
      <c r="U159" s="52" t="s">
        <v>2945</v>
      </c>
      <c r="V159" s="52" t="s">
        <v>581</v>
      </c>
      <c r="W159" s="52" t="s">
        <v>1471</v>
      </c>
      <c r="X159" s="52" t="s">
        <v>583</v>
      </c>
      <c r="Y159" s="52" t="s">
        <v>733</v>
      </c>
      <c r="Z159" s="52" t="s">
        <v>2015</v>
      </c>
      <c r="AA159" s="52" t="s">
        <v>2016</v>
      </c>
      <c r="AB159" s="52" t="s">
        <v>2062</v>
      </c>
      <c r="AC159" s="52" t="s">
        <v>2033</v>
      </c>
      <c r="AD159" s="52" t="s">
        <v>587</v>
      </c>
      <c r="AE159" s="52" t="s">
        <v>2093</v>
      </c>
      <c r="AF159" s="70">
        <v>32804.0</v>
      </c>
      <c r="AG159" s="52">
        <v>36.0</v>
      </c>
      <c r="AH159" s="52" t="s">
        <v>1750</v>
      </c>
      <c r="AI159" s="52" t="s">
        <v>2946</v>
      </c>
      <c r="AJ159" s="52" t="s">
        <v>2947</v>
      </c>
      <c r="AK159" s="52" t="s">
        <v>2022</v>
      </c>
      <c r="AL159" s="52" t="s">
        <v>1751</v>
      </c>
      <c r="AM159" s="52" t="s">
        <v>587</v>
      </c>
      <c r="AN159" s="52" t="s">
        <v>1751</v>
      </c>
      <c r="AO159" s="52" t="s">
        <v>1483</v>
      </c>
      <c r="AP159" s="52">
        <v>20125.0</v>
      </c>
      <c r="AQ159" s="52">
        <v>14425.0</v>
      </c>
      <c r="AR159" s="52" t="s">
        <v>367</v>
      </c>
      <c r="AS159" s="69">
        <v>45688.0</v>
      </c>
      <c r="AT159" s="70">
        <v>46020.0</v>
      </c>
      <c r="AU159" s="69">
        <v>45688.0</v>
      </c>
      <c r="AV159" s="70">
        <v>46020.0</v>
      </c>
      <c r="AW159" s="52" t="s">
        <v>1483</v>
      </c>
      <c r="AX159" s="52" t="s">
        <v>587</v>
      </c>
      <c r="AY159" s="52">
        <v>332.0</v>
      </c>
      <c r="AZ159" s="52" t="s">
        <v>2010</v>
      </c>
      <c r="BA159" s="73" t="s">
        <v>2948</v>
      </c>
      <c r="BB159" s="69">
        <v>45688.0</v>
      </c>
      <c r="BC159" s="52" t="s">
        <v>222</v>
      </c>
      <c r="BD159" s="52">
        <v>1.026254981E9</v>
      </c>
      <c r="BE159" s="52" t="s">
        <v>2256</v>
      </c>
      <c r="BF159" s="52" t="s">
        <v>223</v>
      </c>
      <c r="BG159" s="52" t="s">
        <v>2041</v>
      </c>
      <c r="BH159" s="52" t="s">
        <v>620</v>
      </c>
      <c r="BI159" s="52" t="s">
        <v>2027</v>
      </c>
    </row>
    <row r="160">
      <c r="A160" s="52">
        <v>134.0</v>
      </c>
      <c r="B160" s="52" t="s">
        <v>736</v>
      </c>
      <c r="C160" s="52" t="s">
        <v>2005</v>
      </c>
      <c r="D160" s="52">
        <v>1.057584892E9</v>
      </c>
      <c r="E160" s="52" t="s">
        <v>1908</v>
      </c>
      <c r="F160" s="69">
        <v>45685.0</v>
      </c>
      <c r="G160" s="52" t="s">
        <v>738</v>
      </c>
      <c r="H160" s="52" t="s">
        <v>2177</v>
      </c>
      <c r="I160" s="52" t="s">
        <v>2177</v>
      </c>
      <c r="J160" s="52" t="s">
        <v>1478</v>
      </c>
      <c r="K160" s="52" t="s">
        <v>2515</v>
      </c>
      <c r="L160" s="52" t="s">
        <v>2010</v>
      </c>
      <c r="N160" s="52" t="s">
        <v>2010</v>
      </c>
      <c r="O160" s="69">
        <v>45684.0</v>
      </c>
      <c r="P160" s="52">
        <v>2.0251700006993E13</v>
      </c>
      <c r="Q160" s="52" t="s">
        <v>2515</v>
      </c>
      <c r="R160" s="69">
        <v>45684.0</v>
      </c>
      <c r="S160" s="52" t="s">
        <v>2949</v>
      </c>
      <c r="T160" s="52" t="s">
        <v>2013</v>
      </c>
      <c r="U160" s="52" t="s">
        <v>2950</v>
      </c>
      <c r="V160" s="52" t="s">
        <v>581</v>
      </c>
      <c r="W160" s="52" t="s">
        <v>1471</v>
      </c>
      <c r="X160" s="52" t="s">
        <v>583</v>
      </c>
      <c r="Y160" s="52" t="s">
        <v>737</v>
      </c>
      <c r="Z160" s="52" t="s">
        <v>2015</v>
      </c>
      <c r="AA160" s="52" t="s">
        <v>2016</v>
      </c>
      <c r="AB160" s="52" t="s">
        <v>2062</v>
      </c>
      <c r="AC160" s="52" t="s">
        <v>2018</v>
      </c>
      <c r="AD160" s="52" t="s">
        <v>587</v>
      </c>
      <c r="AE160" s="52" t="s">
        <v>2951</v>
      </c>
      <c r="AF160" s="69">
        <v>33126.0</v>
      </c>
      <c r="AG160" s="52">
        <v>35.0</v>
      </c>
      <c r="AH160" s="52" t="s">
        <v>1752</v>
      </c>
      <c r="AI160" s="52" t="s">
        <v>2952</v>
      </c>
      <c r="AJ160" s="52" t="s">
        <v>2953</v>
      </c>
      <c r="AK160" s="52" t="s">
        <v>2022</v>
      </c>
      <c r="AL160" s="52" t="s">
        <v>1753</v>
      </c>
      <c r="AM160" s="52" t="s">
        <v>1754</v>
      </c>
      <c r="AN160" s="52" t="s">
        <v>1755</v>
      </c>
      <c r="AO160" s="52" t="s">
        <v>1483</v>
      </c>
      <c r="AP160" s="52">
        <v>16325.0</v>
      </c>
      <c r="AQ160" s="52">
        <v>14525.0</v>
      </c>
      <c r="AR160" s="52" t="s">
        <v>152</v>
      </c>
      <c r="AS160" s="69">
        <v>45688.0</v>
      </c>
      <c r="AT160" s="70">
        <v>46020.0</v>
      </c>
      <c r="AU160" s="69">
        <v>45688.0</v>
      </c>
      <c r="AV160" s="70">
        <v>46020.0</v>
      </c>
      <c r="AW160" s="52" t="s">
        <v>1483</v>
      </c>
      <c r="AX160" s="52" t="s">
        <v>587</v>
      </c>
      <c r="AY160" s="52">
        <v>332.0</v>
      </c>
      <c r="AZ160" s="52" t="s">
        <v>2010</v>
      </c>
      <c r="BA160" s="73" t="s">
        <v>2954</v>
      </c>
      <c r="BB160" s="69">
        <v>45688.0</v>
      </c>
      <c r="BC160" s="52" t="s">
        <v>739</v>
      </c>
      <c r="BD160" s="52">
        <v>1.057588989E9</v>
      </c>
      <c r="BE160" s="52" t="s">
        <v>2955</v>
      </c>
      <c r="BF160" s="52" t="s">
        <v>154</v>
      </c>
      <c r="BG160" s="52" t="s">
        <v>2041</v>
      </c>
      <c r="BH160" s="52" t="s">
        <v>625</v>
      </c>
      <c r="BI160" s="52" t="s">
        <v>2027</v>
      </c>
    </row>
    <row r="161">
      <c r="A161" s="52">
        <v>135.0</v>
      </c>
      <c r="B161" s="52" t="s">
        <v>741</v>
      </c>
      <c r="C161" s="52" t="s">
        <v>2005</v>
      </c>
      <c r="D161" s="52">
        <v>5.3000155E7</v>
      </c>
      <c r="E161" s="52" t="s">
        <v>1908</v>
      </c>
      <c r="F161" s="69">
        <v>45686.0</v>
      </c>
      <c r="G161" s="52" t="s">
        <v>743</v>
      </c>
      <c r="H161" s="52" t="s">
        <v>2177</v>
      </c>
      <c r="I161" s="52" t="s">
        <v>2177</v>
      </c>
      <c r="J161" s="52" t="s">
        <v>1478</v>
      </c>
      <c r="K161" s="52" t="s">
        <v>2515</v>
      </c>
      <c r="L161" s="52" t="s">
        <v>2010</v>
      </c>
      <c r="N161" s="52" t="s">
        <v>2010</v>
      </c>
      <c r="O161" s="69">
        <v>45684.0</v>
      </c>
      <c r="P161" s="52">
        <v>2.0251700006983E13</v>
      </c>
      <c r="Q161" s="52" t="s">
        <v>2515</v>
      </c>
      <c r="R161" s="69">
        <v>45684.0</v>
      </c>
      <c r="S161" s="52" t="s">
        <v>2956</v>
      </c>
      <c r="T161" s="52" t="s">
        <v>2013</v>
      </c>
      <c r="U161" s="52" t="s">
        <v>2957</v>
      </c>
      <c r="V161" s="52" t="s">
        <v>581</v>
      </c>
      <c r="W161" s="52" t="s">
        <v>1471</v>
      </c>
      <c r="X161" s="52" t="s">
        <v>583</v>
      </c>
      <c r="Y161" s="52" t="s">
        <v>742</v>
      </c>
      <c r="Z161" s="52" t="s">
        <v>2015</v>
      </c>
      <c r="AA161" s="52" t="s">
        <v>2016</v>
      </c>
      <c r="AB161" s="52" t="s">
        <v>2062</v>
      </c>
      <c r="AC161" s="52" t="s">
        <v>2033</v>
      </c>
      <c r="AD161" s="52" t="s">
        <v>587</v>
      </c>
      <c r="AE161" s="52" t="s">
        <v>2958</v>
      </c>
      <c r="AF161" s="69">
        <v>31081.0</v>
      </c>
      <c r="AG161" s="52">
        <v>40.0</v>
      </c>
      <c r="AH161" s="52" t="s">
        <v>1521</v>
      </c>
      <c r="AI161" s="52" t="s">
        <v>2959</v>
      </c>
      <c r="AJ161" s="52" t="s">
        <v>2960</v>
      </c>
      <c r="AK161" s="52" t="s">
        <v>2022</v>
      </c>
      <c r="AL161" s="52" t="s">
        <v>1753</v>
      </c>
      <c r="AM161" s="52" t="s">
        <v>1604</v>
      </c>
      <c r="AN161" s="52" t="s">
        <v>1756</v>
      </c>
      <c r="AO161" s="52" t="s">
        <v>1483</v>
      </c>
      <c r="AP161" s="52">
        <v>15925.0</v>
      </c>
      <c r="AQ161" s="52">
        <v>15125.0</v>
      </c>
      <c r="AR161" s="52" t="s">
        <v>152</v>
      </c>
      <c r="AS161" s="69">
        <v>45688.0</v>
      </c>
      <c r="AT161" s="70">
        <v>46021.0</v>
      </c>
      <c r="AU161" s="69">
        <v>45688.0</v>
      </c>
      <c r="AV161" s="70">
        <v>46021.0</v>
      </c>
      <c r="AW161" s="52" t="s">
        <v>1483</v>
      </c>
      <c r="AX161" s="52" t="s">
        <v>587</v>
      </c>
      <c r="AY161" s="52">
        <v>333.0</v>
      </c>
      <c r="AZ161" s="52" t="s">
        <v>2010</v>
      </c>
      <c r="BA161" s="73" t="s">
        <v>2961</v>
      </c>
      <c r="BB161" s="69">
        <v>45688.0</v>
      </c>
      <c r="BC161" s="52" t="s">
        <v>744</v>
      </c>
      <c r="BD161" s="52">
        <v>7.9594336E7</v>
      </c>
      <c r="BE161" s="52" t="s">
        <v>2962</v>
      </c>
      <c r="BF161" s="52" t="s">
        <v>154</v>
      </c>
      <c r="BG161" s="52" t="s">
        <v>2041</v>
      </c>
      <c r="BH161" s="52" t="s">
        <v>629</v>
      </c>
      <c r="BI161" s="52" t="s">
        <v>2027</v>
      </c>
    </row>
    <row r="162">
      <c r="A162" s="52">
        <v>136.0</v>
      </c>
      <c r="B162" s="52" t="s">
        <v>746</v>
      </c>
      <c r="C162" s="52" t="s">
        <v>2005</v>
      </c>
      <c r="D162" s="52">
        <v>5.2016453E7</v>
      </c>
      <c r="E162" s="52" t="s">
        <v>1908</v>
      </c>
      <c r="F162" s="69">
        <v>45686.0</v>
      </c>
      <c r="G162" s="52" t="s">
        <v>748</v>
      </c>
      <c r="H162" s="52" t="s">
        <v>2177</v>
      </c>
      <c r="I162" s="52" t="s">
        <v>2177</v>
      </c>
      <c r="J162" s="52" t="s">
        <v>1478</v>
      </c>
      <c r="K162" s="52" t="s">
        <v>2515</v>
      </c>
      <c r="L162" s="52" t="s">
        <v>2010</v>
      </c>
      <c r="N162" s="52" t="s">
        <v>2010</v>
      </c>
      <c r="O162" s="69">
        <v>45684.0</v>
      </c>
      <c r="P162" s="52">
        <v>2.0251700006973E13</v>
      </c>
      <c r="Q162" s="52" t="s">
        <v>2515</v>
      </c>
      <c r="R162" s="69">
        <v>45684.0</v>
      </c>
      <c r="S162" s="52" t="s">
        <v>2963</v>
      </c>
      <c r="T162" s="52" t="s">
        <v>2013</v>
      </c>
      <c r="U162" s="52" t="s">
        <v>2964</v>
      </c>
      <c r="V162" s="52" t="s">
        <v>581</v>
      </c>
      <c r="W162" s="52" t="s">
        <v>1471</v>
      </c>
      <c r="X162" s="52" t="s">
        <v>583</v>
      </c>
      <c r="Y162" s="52" t="s">
        <v>747</v>
      </c>
      <c r="Z162" s="52" t="s">
        <v>2015</v>
      </c>
      <c r="AA162" s="52" t="s">
        <v>2016</v>
      </c>
      <c r="AB162" s="52" t="s">
        <v>2062</v>
      </c>
      <c r="AC162" s="52" t="s">
        <v>2033</v>
      </c>
      <c r="AD162" s="52" t="s">
        <v>587</v>
      </c>
      <c r="AE162" s="52" t="s">
        <v>2019</v>
      </c>
      <c r="AF162" s="70">
        <v>25870.0</v>
      </c>
      <c r="AG162" s="52">
        <v>55.0</v>
      </c>
      <c r="AH162" s="52" t="s">
        <v>1757</v>
      </c>
      <c r="AI162" s="52" t="s">
        <v>2965</v>
      </c>
      <c r="AJ162" s="52" t="s">
        <v>2966</v>
      </c>
      <c r="AK162" s="52" t="s">
        <v>2022</v>
      </c>
      <c r="AL162" s="52" t="s">
        <v>1758</v>
      </c>
      <c r="AM162" s="52" t="s">
        <v>1601</v>
      </c>
      <c r="AN162" s="52" t="s">
        <v>1759</v>
      </c>
      <c r="AO162" s="52" t="s">
        <v>1483</v>
      </c>
      <c r="AP162" s="52">
        <v>16425.0</v>
      </c>
      <c r="AQ162" s="52">
        <v>15425.0</v>
      </c>
      <c r="AR162" s="52" t="s">
        <v>152</v>
      </c>
      <c r="AS162" s="69">
        <v>45688.0</v>
      </c>
      <c r="AT162" s="70">
        <v>46021.0</v>
      </c>
      <c r="AU162" s="69">
        <v>45688.0</v>
      </c>
      <c r="AV162" s="70">
        <v>46021.0</v>
      </c>
      <c r="AW162" s="52" t="s">
        <v>1483</v>
      </c>
      <c r="AX162" s="52" t="s">
        <v>587</v>
      </c>
      <c r="AY162" s="52">
        <v>333.0</v>
      </c>
      <c r="AZ162" s="52" t="s">
        <v>2010</v>
      </c>
      <c r="BA162" s="73" t="s">
        <v>2967</v>
      </c>
      <c r="BB162" s="69">
        <v>45688.0</v>
      </c>
      <c r="BC162" s="52" t="s">
        <v>749</v>
      </c>
      <c r="BD162" s="52">
        <v>9.8473797E7</v>
      </c>
      <c r="BE162" s="52" t="s">
        <v>2968</v>
      </c>
      <c r="BF162" s="52" t="s">
        <v>154</v>
      </c>
      <c r="BG162" s="52" t="s">
        <v>2041</v>
      </c>
      <c r="BH162" s="52" t="s">
        <v>634</v>
      </c>
      <c r="BI162" s="52" t="s">
        <v>2027</v>
      </c>
    </row>
    <row r="163">
      <c r="A163" s="52">
        <v>137.0</v>
      </c>
      <c r="B163" s="52" t="s">
        <v>751</v>
      </c>
      <c r="C163" s="52" t="s">
        <v>2005</v>
      </c>
      <c r="D163" s="52">
        <v>1.088351048E9</v>
      </c>
      <c r="E163" s="52" t="s">
        <v>1908</v>
      </c>
      <c r="F163" s="69">
        <v>45685.0</v>
      </c>
      <c r="G163" s="52" t="s">
        <v>753</v>
      </c>
      <c r="H163" s="52" t="s">
        <v>2008</v>
      </c>
      <c r="I163" s="52" t="s">
        <v>2008</v>
      </c>
      <c r="J163" s="52" t="s">
        <v>1478</v>
      </c>
      <c r="K163" s="52" t="s">
        <v>2098</v>
      </c>
      <c r="L163" s="52" t="s">
        <v>2010</v>
      </c>
      <c r="N163" s="52" t="s">
        <v>2010</v>
      </c>
      <c r="O163" s="69">
        <v>45684.0</v>
      </c>
      <c r="P163" s="52">
        <v>2.0251610006963E13</v>
      </c>
      <c r="Q163" s="52" t="s">
        <v>2098</v>
      </c>
      <c r="R163" s="69">
        <v>45684.0</v>
      </c>
      <c r="S163" s="52" t="s">
        <v>2969</v>
      </c>
      <c r="T163" s="52" t="s">
        <v>2013</v>
      </c>
      <c r="U163" s="52" t="s">
        <v>2970</v>
      </c>
      <c r="V163" s="52" t="s">
        <v>581</v>
      </c>
      <c r="W163" s="52" t="s">
        <v>1471</v>
      </c>
      <c r="X163" s="52" t="s">
        <v>583</v>
      </c>
      <c r="Y163" s="52" t="s">
        <v>752</v>
      </c>
      <c r="Z163" s="52" t="s">
        <v>2015</v>
      </c>
      <c r="AA163" s="52" t="s">
        <v>2016</v>
      </c>
      <c r="AB163" s="52" t="s">
        <v>2062</v>
      </c>
      <c r="AC163" s="52" t="s">
        <v>2054</v>
      </c>
      <c r="AD163" s="52" t="s">
        <v>587</v>
      </c>
      <c r="AE163" s="52" t="s">
        <v>2841</v>
      </c>
      <c r="AF163" s="69">
        <v>36055.0</v>
      </c>
      <c r="AG163" s="52">
        <v>27.0</v>
      </c>
      <c r="AH163" s="52" t="s">
        <v>1760</v>
      </c>
      <c r="AI163" s="52" t="s">
        <v>2971</v>
      </c>
      <c r="AJ163" s="52" t="s">
        <v>2972</v>
      </c>
      <c r="AK163" s="52" t="s">
        <v>2022</v>
      </c>
      <c r="AL163" s="52" t="s">
        <v>1758</v>
      </c>
      <c r="AM163" s="52" t="s">
        <v>587</v>
      </c>
      <c r="AN163" s="52" t="s">
        <v>1758</v>
      </c>
      <c r="AO163" s="52" t="s">
        <v>1483</v>
      </c>
      <c r="AP163" s="52">
        <v>14125.0</v>
      </c>
      <c r="AQ163" s="52">
        <v>14225.0</v>
      </c>
      <c r="AR163" s="52" t="s">
        <v>730</v>
      </c>
      <c r="AS163" s="69">
        <v>45688.0</v>
      </c>
      <c r="AT163" s="70">
        <v>46020.0</v>
      </c>
      <c r="AU163" s="69">
        <v>45688.0</v>
      </c>
      <c r="AV163" s="70">
        <v>46020.0</v>
      </c>
      <c r="AW163" s="52" t="s">
        <v>1483</v>
      </c>
      <c r="AX163" s="52" t="s">
        <v>587</v>
      </c>
      <c r="AY163" s="52">
        <v>332.0</v>
      </c>
      <c r="AZ163" s="52" t="s">
        <v>2010</v>
      </c>
      <c r="BA163" s="73" t="s">
        <v>2973</v>
      </c>
      <c r="BB163" s="69">
        <v>45688.0</v>
      </c>
      <c r="BC163" s="52" t="s">
        <v>557</v>
      </c>
      <c r="BD163" s="52">
        <v>7.9954284E7</v>
      </c>
      <c r="BE163" s="52" t="s">
        <v>2694</v>
      </c>
      <c r="BF163" s="52" t="s">
        <v>165</v>
      </c>
      <c r="BG163" s="52" t="s">
        <v>2041</v>
      </c>
      <c r="BH163" s="52" t="s">
        <v>639</v>
      </c>
      <c r="BI163" s="52" t="s">
        <v>2027</v>
      </c>
    </row>
    <row r="164">
      <c r="A164" s="52">
        <v>138.0</v>
      </c>
      <c r="B164" s="52" t="s">
        <v>2974</v>
      </c>
      <c r="C164" s="52" t="s">
        <v>2005</v>
      </c>
      <c r="D164" s="52">
        <v>1.016068292E9</v>
      </c>
      <c r="E164" s="52" t="s">
        <v>1908</v>
      </c>
      <c r="F164" s="69">
        <v>45686.0</v>
      </c>
      <c r="G164" s="52" t="s">
        <v>757</v>
      </c>
      <c r="H164" s="52" t="s">
        <v>2008</v>
      </c>
      <c r="I164" s="52" t="s">
        <v>2008</v>
      </c>
      <c r="J164" s="52" t="s">
        <v>1470</v>
      </c>
      <c r="K164" s="52" t="s">
        <v>2098</v>
      </c>
      <c r="L164" s="52" t="s">
        <v>2010</v>
      </c>
      <c r="N164" s="52" t="s">
        <v>2010</v>
      </c>
      <c r="O164" s="69">
        <v>45684.0</v>
      </c>
      <c r="P164" s="52">
        <v>2.0251610007233E13</v>
      </c>
      <c r="Q164" s="52" t="s">
        <v>2098</v>
      </c>
      <c r="R164" s="69">
        <v>45685.0</v>
      </c>
      <c r="S164" s="52" t="s">
        <v>2975</v>
      </c>
      <c r="T164" s="52" t="s">
        <v>2013</v>
      </c>
      <c r="U164" s="52" t="s">
        <v>2976</v>
      </c>
      <c r="V164" s="52" t="s">
        <v>581</v>
      </c>
      <c r="W164" s="52" t="s">
        <v>1471</v>
      </c>
      <c r="X164" s="52" t="s">
        <v>583</v>
      </c>
      <c r="Y164" s="52" t="s">
        <v>756</v>
      </c>
      <c r="Z164" s="52" t="s">
        <v>2081</v>
      </c>
      <c r="AA164" s="52" t="s">
        <v>2016</v>
      </c>
      <c r="AB164" s="52" t="s">
        <v>2032</v>
      </c>
      <c r="AC164" s="52" t="s">
        <v>2018</v>
      </c>
      <c r="AD164" s="52" t="s">
        <v>587</v>
      </c>
      <c r="AE164" s="52" t="s">
        <v>2019</v>
      </c>
      <c r="AF164" s="69">
        <v>34560.0</v>
      </c>
      <c r="AG164" s="52">
        <v>31.0</v>
      </c>
      <c r="AH164" s="52" t="s">
        <v>1526</v>
      </c>
      <c r="AI164" s="52" t="s">
        <v>2977</v>
      </c>
      <c r="AJ164" s="52" t="s">
        <v>2978</v>
      </c>
      <c r="AK164" s="52" t="s">
        <v>2022</v>
      </c>
      <c r="AL164" s="52" t="s">
        <v>1523</v>
      </c>
      <c r="AM164" s="52" t="s">
        <v>587</v>
      </c>
      <c r="AN164" s="52" t="s">
        <v>1523</v>
      </c>
      <c r="AO164" s="52" t="s">
        <v>1483</v>
      </c>
      <c r="AP164" s="52">
        <v>15625.0</v>
      </c>
      <c r="AQ164" s="52">
        <v>15725.0</v>
      </c>
      <c r="AR164" s="52" t="s">
        <v>91</v>
      </c>
      <c r="AS164" s="69">
        <v>45688.0</v>
      </c>
      <c r="AT164" s="70">
        <v>46021.0</v>
      </c>
      <c r="AU164" s="69">
        <v>45688.0</v>
      </c>
      <c r="AV164" s="70">
        <v>46021.0</v>
      </c>
      <c r="AW164" s="52" t="s">
        <v>1483</v>
      </c>
      <c r="AX164" s="52" t="s">
        <v>587</v>
      </c>
      <c r="AY164" s="52">
        <v>333.0</v>
      </c>
      <c r="AZ164" s="52" t="s">
        <v>2010</v>
      </c>
      <c r="BA164" s="73" t="s">
        <v>2979</v>
      </c>
      <c r="BB164" s="69">
        <v>45688.0</v>
      </c>
      <c r="BC164" s="52" t="s">
        <v>164</v>
      </c>
      <c r="BD164" s="52">
        <v>1.119667829E9</v>
      </c>
      <c r="BE164" s="52" t="s">
        <v>2980</v>
      </c>
      <c r="BF164" s="52" t="s">
        <v>165</v>
      </c>
      <c r="BG164" s="52" t="s">
        <v>2041</v>
      </c>
      <c r="BH164" s="52" t="s">
        <v>649</v>
      </c>
      <c r="BI164" s="52" t="s">
        <v>2027</v>
      </c>
    </row>
    <row r="165">
      <c r="A165" s="52">
        <v>139.0</v>
      </c>
      <c r="B165" s="52" t="s">
        <v>759</v>
      </c>
      <c r="C165" s="52" t="s">
        <v>2005</v>
      </c>
      <c r="D165" s="52">
        <v>1.073236997E9</v>
      </c>
      <c r="E165" s="52" t="s">
        <v>1908</v>
      </c>
      <c r="F165" s="69">
        <v>45686.0</v>
      </c>
      <c r="G165" s="52" t="s">
        <v>761</v>
      </c>
      <c r="H165" s="52" t="s">
        <v>2008</v>
      </c>
      <c r="I165" s="52" t="s">
        <v>2008</v>
      </c>
      <c r="J165" s="52" t="s">
        <v>1478</v>
      </c>
      <c r="K165" s="52" t="s">
        <v>2098</v>
      </c>
      <c r="L165" s="52" t="s">
        <v>2010</v>
      </c>
      <c r="N165" s="52" t="s">
        <v>2010</v>
      </c>
      <c r="O165" s="69">
        <v>45684.0</v>
      </c>
      <c r="P165" s="52">
        <v>2.0251610007223E13</v>
      </c>
      <c r="Q165" s="52" t="s">
        <v>2098</v>
      </c>
      <c r="R165" s="69">
        <v>45685.0</v>
      </c>
      <c r="S165" s="52" t="s">
        <v>2981</v>
      </c>
      <c r="T165" s="52" t="s">
        <v>2013</v>
      </c>
      <c r="U165" s="52" t="s">
        <v>2982</v>
      </c>
      <c r="V165" s="52" t="s">
        <v>581</v>
      </c>
      <c r="W165" s="52" t="s">
        <v>1471</v>
      </c>
      <c r="X165" s="52" t="s">
        <v>583</v>
      </c>
      <c r="Y165" s="52" t="s">
        <v>760</v>
      </c>
      <c r="Z165" s="52" t="s">
        <v>2081</v>
      </c>
      <c r="AA165" s="52" t="s">
        <v>2016</v>
      </c>
      <c r="AB165" s="52" t="s">
        <v>2062</v>
      </c>
      <c r="AC165" s="52" t="s">
        <v>2063</v>
      </c>
      <c r="AD165" s="52" t="s">
        <v>587</v>
      </c>
      <c r="AE165" s="52" t="s">
        <v>2093</v>
      </c>
      <c r="AF165" s="69">
        <v>33145.0</v>
      </c>
      <c r="AG165" s="52">
        <v>35.0</v>
      </c>
      <c r="AH165" s="52" t="s">
        <v>1526</v>
      </c>
      <c r="AI165" s="52" t="s">
        <v>2983</v>
      </c>
      <c r="AJ165" s="52" t="s">
        <v>2984</v>
      </c>
      <c r="AK165" s="52" t="s">
        <v>2022</v>
      </c>
      <c r="AL165" s="52" t="s">
        <v>1761</v>
      </c>
      <c r="AM165" s="52" t="s">
        <v>1762</v>
      </c>
      <c r="AN165" s="52" t="s">
        <v>1763</v>
      </c>
      <c r="AO165" s="52" t="s">
        <v>1483</v>
      </c>
      <c r="AP165" s="52">
        <v>14225.0</v>
      </c>
      <c r="AQ165" s="52">
        <v>15025.0</v>
      </c>
      <c r="AR165" s="52" t="s">
        <v>762</v>
      </c>
      <c r="AS165" s="69">
        <v>45688.0</v>
      </c>
      <c r="AT165" s="70">
        <v>46021.0</v>
      </c>
      <c r="AU165" s="69">
        <v>45688.0</v>
      </c>
      <c r="AV165" s="70">
        <v>46021.0</v>
      </c>
      <c r="AW165" s="52" t="s">
        <v>1483</v>
      </c>
      <c r="AX165" s="52" t="s">
        <v>587</v>
      </c>
      <c r="AY165" s="52">
        <v>333.0</v>
      </c>
      <c r="AZ165" s="52" t="s">
        <v>2010</v>
      </c>
      <c r="BA165" s="73" t="s">
        <v>2985</v>
      </c>
      <c r="BB165" s="69">
        <v>45688.0</v>
      </c>
      <c r="BC165" s="52" t="s">
        <v>557</v>
      </c>
      <c r="BD165" s="52">
        <v>7.9954284E7</v>
      </c>
      <c r="BE165" s="52" t="s">
        <v>2694</v>
      </c>
      <c r="BF165" s="52" t="s">
        <v>165</v>
      </c>
      <c r="BG165" s="52" t="s">
        <v>2041</v>
      </c>
      <c r="BH165" s="52" t="s">
        <v>653</v>
      </c>
      <c r="BI165" s="52" t="s">
        <v>2027</v>
      </c>
    </row>
    <row r="166">
      <c r="A166" s="52">
        <v>140.0</v>
      </c>
      <c r="B166" s="52" t="s">
        <v>763</v>
      </c>
      <c r="C166" s="52" t="s">
        <v>2005</v>
      </c>
      <c r="D166" s="52">
        <v>7.9598641E7</v>
      </c>
      <c r="E166" s="52" t="s">
        <v>1908</v>
      </c>
      <c r="F166" s="69">
        <v>45686.0</v>
      </c>
      <c r="G166" s="52" t="s">
        <v>765</v>
      </c>
      <c r="H166" s="52" t="s">
        <v>2813</v>
      </c>
      <c r="I166" s="52" t="s">
        <v>2008</v>
      </c>
      <c r="J166" s="52" t="s">
        <v>1470</v>
      </c>
      <c r="K166" s="52" t="s">
        <v>2098</v>
      </c>
      <c r="L166" s="52" t="s">
        <v>2010</v>
      </c>
      <c r="N166" s="52" t="s">
        <v>2010</v>
      </c>
      <c r="O166" s="69">
        <v>45684.0</v>
      </c>
      <c r="P166" s="52">
        <v>2.0251020007243E13</v>
      </c>
      <c r="Q166" s="52" t="s">
        <v>2098</v>
      </c>
      <c r="R166" s="69">
        <v>45685.0</v>
      </c>
      <c r="S166" s="52" t="s">
        <v>2986</v>
      </c>
      <c r="T166" s="52" t="s">
        <v>2013</v>
      </c>
      <c r="U166" s="52" t="s">
        <v>2987</v>
      </c>
      <c r="V166" s="52" t="s">
        <v>581</v>
      </c>
      <c r="W166" s="52" t="s">
        <v>1471</v>
      </c>
      <c r="X166" s="52" t="s">
        <v>583</v>
      </c>
      <c r="Y166" s="52" t="s">
        <v>764</v>
      </c>
      <c r="Z166" s="52" t="s">
        <v>2081</v>
      </c>
      <c r="AA166" s="52" t="s">
        <v>2016</v>
      </c>
      <c r="AB166" s="52" t="s">
        <v>2062</v>
      </c>
      <c r="AC166" s="52" t="s">
        <v>2988</v>
      </c>
      <c r="AD166" s="52" t="s">
        <v>587</v>
      </c>
      <c r="AE166" s="52" t="s">
        <v>2019</v>
      </c>
      <c r="AF166" s="69">
        <v>26357.0</v>
      </c>
      <c r="AG166" s="52">
        <v>53.0</v>
      </c>
      <c r="AH166" s="52" t="s">
        <v>1472</v>
      </c>
      <c r="AI166" s="52" t="s">
        <v>2989</v>
      </c>
      <c r="AJ166" s="52" t="s">
        <v>2990</v>
      </c>
      <c r="AK166" s="52" t="s">
        <v>2022</v>
      </c>
      <c r="AL166" s="52" t="s">
        <v>1764</v>
      </c>
      <c r="AM166" s="52" t="s">
        <v>587</v>
      </c>
      <c r="AN166" s="52" t="s">
        <v>1764</v>
      </c>
      <c r="AO166" s="52" t="s">
        <v>1483</v>
      </c>
      <c r="AP166" s="52">
        <v>12725.0</v>
      </c>
      <c r="AQ166" s="52">
        <v>14925.0</v>
      </c>
      <c r="AR166" s="52" t="s">
        <v>38</v>
      </c>
      <c r="AS166" s="69">
        <v>45688.0</v>
      </c>
      <c r="AT166" s="70">
        <v>45991.0</v>
      </c>
      <c r="AU166" s="69">
        <v>45688.0</v>
      </c>
      <c r="AV166" s="70">
        <v>45991.0</v>
      </c>
      <c r="AW166" s="52" t="s">
        <v>1483</v>
      </c>
      <c r="AX166" s="52" t="s">
        <v>587</v>
      </c>
      <c r="AY166" s="52">
        <v>303.0</v>
      </c>
      <c r="AZ166" s="52" t="s">
        <v>2010</v>
      </c>
      <c r="BA166" s="73" t="s">
        <v>2991</v>
      </c>
      <c r="BB166" s="69">
        <v>45688.0</v>
      </c>
      <c r="BC166" s="52" t="s">
        <v>328</v>
      </c>
      <c r="BD166" s="52">
        <v>1.016024615E9</v>
      </c>
      <c r="BE166" s="52" t="s">
        <v>2212</v>
      </c>
      <c r="BF166" s="52" t="s">
        <v>258</v>
      </c>
      <c r="BG166" s="52" t="s">
        <v>2041</v>
      </c>
      <c r="BH166" s="52" t="s">
        <v>658</v>
      </c>
      <c r="BI166" s="52" t="s">
        <v>2027</v>
      </c>
    </row>
    <row r="167">
      <c r="A167" s="52">
        <v>141.0</v>
      </c>
      <c r="B167" s="52" t="s">
        <v>767</v>
      </c>
      <c r="C167" s="52" t="s">
        <v>2005</v>
      </c>
      <c r="D167" s="52">
        <v>1.024476225E9</v>
      </c>
      <c r="E167" s="52" t="s">
        <v>1908</v>
      </c>
      <c r="F167" s="69">
        <v>45687.0</v>
      </c>
      <c r="G167" s="52" t="s">
        <v>769</v>
      </c>
      <c r="H167" s="52" t="s">
        <v>2813</v>
      </c>
      <c r="I167" s="52" t="s">
        <v>2008</v>
      </c>
      <c r="J167" s="52" t="s">
        <v>1470</v>
      </c>
      <c r="K167" s="52" t="s">
        <v>2069</v>
      </c>
      <c r="L167" s="52" t="s">
        <v>2010</v>
      </c>
      <c r="N167" s="52" t="s">
        <v>2010</v>
      </c>
      <c r="O167" s="69">
        <v>45684.0</v>
      </c>
      <c r="P167" s="52">
        <v>2.0251020007253E13</v>
      </c>
      <c r="Q167" s="52" t="s">
        <v>2069</v>
      </c>
      <c r="R167" s="69">
        <v>45685.0</v>
      </c>
      <c r="S167" s="52" t="s">
        <v>2992</v>
      </c>
      <c r="T167" s="52" t="s">
        <v>2013</v>
      </c>
      <c r="U167" s="52" t="s">
        <v>2993</v>
      </c>
      <c r="V167" s="52" t="s">
        <v>581</v>
      </c>
      <c r="W167" s="52" t="s">
        <v>1471</v>
      </c>
      <c r="X167" s="52" t="s">
        <v>583</v>
      </c>
      <c r="Y167" s="52" t="s">
        <v>768</v>
      </c>
      <c r="Z167" s="52" t="s">
        <v>2081</v>
      </c>
      <c r="AA167" s="52" t="s">
        <v>2016</v>
      </c>
      <c r="AB167" s="52" t="s">
        <v>2228</v>
      </c>
      <c r="AC167" s="52" t="s">
        <v>2033</v>
      </c>
      <c r="AD167" s="52" t="s">
        <v>587</v>
      </c>
      <c r="AE167" s="52" t="s">
        <v>2019</v>
      </c>
      <c r="AF167" s="69">
        <v>32039.0</v>
      </c>
      <c r="AG167" s="52">
        <v>38.0</v>
      </c>
      <c r="AH167" s="52" t="s">
        <v>1472</v>
      </c>
      <c r="AI167" s="52" t="s">
        <v>2994</v>
      </c>
      <c r="AJ167" s="52" t="s">
        <v>2995</v>
      </c>
      <c r="AK167" s="52" t="s">
        <v>2022</v>
      </c>
      <c r="AL167" s="52" t="s">
        <v>1765</v>
      </c>
      <c r="AM167" s="52" t="s">
        <v>587</v>
      </c>
      <c r="AN167" s="52" t="s">
        <v>1765</v>
      </c>
      <c r="AO167" s="52" t="s">
        <v>1483</v>
      </c>
      <c r="AP167" s="52">
        <v>12425.0</v>
      </c>
      <c r="AQ167" s="52">
        <v>16625.0</v>
      </c>
      <c r="AR167" s="52" t="s">
        <v>38</v>
      </c>
      <c r="AS167" s="69">
        <v>45689.0</v>
      </c>
      <c r="AT167" s="70">
        <v>45993.0</v>
      </c>
      <c r="AU167" s="69">
        <v>45691.0</v>
      </c>
      <c r="AV167" s="70">
        <v>45993.0</v>
      </c>
      <c r="AW167" s="52" t="s">
        <v>1483</v>
      </c>
      <c r="AX167" s="52" t="s">
        <v>587</v>
      </c>
      <c r="AY167" s="52">
        <v>302.0</v>
      </c>
      <c r="AZ167" s="52" t="s">
        <v>2010</v>
      </c>
      <c r="BA167" s="73" t="s">
        <v>2996</v>
      </c>
      <c r="BB167" s="69">
        <v>45691.0</v>
      </c>
      <c r="BC167" s="52" t="s">
        <v>328</v>
      </c>
      <c r="BD167" s="52">
        <v>1.016024615E9</v>
      </c>
      <c r="BE167" s="52" t="s">
        <v>2212</v>
      </c>
      <c r="BF167" s="52" t="s">
        <v>258</v>
      </c>
      <c r="BG167" s="52" t="s">
        <v>2041</v>
      </c>
      <c r="BH167" s="52" t="s">
        <v>662</v>
      </c>
      <c r="BI167" s="52" t="s">
        <v>2805</v>
      </c>
    </row>
    <row r="168">
      <c r="A168" s="52">
        <v>142.0</v>
      </c>
      <c r="B168" s="52" t="s">
        <v>771</v>
      </c>
      <c r="C168" s="52" t="s">
        <v>2005</v>
      </c>
      <c r="D168" s="52">
        <v>1.032463587E9</v>
      </c>
      <c r="E168" s="52" t="s">
        <v>1908</v>
      </c>
      <c r="F168" s="69">
        <v>45693.0</v>
      </c>
      <c r="G168" s="52" t="s">
        <v>773</v>
      </c>
      <c r="H168" s="52" t="s">
        <v>2042</v>
      </c>
      <c r="I168" s="52" t="s">
        <v>2042</v>
      </c>
      <c r="J168" s="52" t="s">
        <v>1478</v>
      </c>
      <c r="K168" s="52" t="s">
        <v>2213</v>
      </c>
      <c r="L168" s="52" t="s">
        <v>2010</v>
      </c>
      <c r="N168" s="52" t="s">
        <v>2010</v>
      </c>
      <c r="O168" s="52" t="s">
        <v>2997</v>
      </c>
      <c r="P168" s="52" t="s">
        <v>2998</v>
      </c>
      <c r="Q168" s="52" t="s">
        <v>2213</v>
      </c>
      <c r="R168" s="52" t="s">
        <v>2999</v>
      </c>
      <c r="S168" s="52" t="s">
        <v>3000</v>
      </c>
      <c r="T168" s="52" t="s">
        <v>2013</v>
      </c>
      <c r="U168" s="52" t="s">
        <v>3001</v>
      </c>
      <c r="V168" s="52" t="s">
        <v>581</v>
      </c>
      <c r="W168" s="52" t="s">
        <v>1471</v>
      </c>
      <c r="X168" s="52" t="s">
        <v>583</v>
      </c>
      <c r="Y168" s="52" t="s">
        <v>772</v>
      </c>
      <c r="Z168" s="52" t="s">
        <v>2015</v>
      </c>
      <c r="AA168" s="52" t="s">
        <v>2016</v>
      </c>
      <c r="AB168" s="52" t="s">
        <v>2017</v>
      </c>
      <c r="AC168" s="52" t="s">
        <v>2018</v>
      </c>
      <c r="AD168" s="52" t="s">
        <v>587</v>
      </c>
      <c r="AE168" s="52" t="s">
        <v>2019</v>
      </c>
      <c r="AF168" s="69">
        <v>34444.0</v>
      </c>
      <c r="AG168" s="52">
        <v>31.0</v>
      </c>
      <c r="AH168" s="52" t="s">
        <v>3002</v>
      </c>
      <c r="AI168" s="52" t="s">
        <v>3003</v>
      </c>
      <c r="AJ168" s="52" t="s">
        <v>3004</v>
      </c>
      <c r="AK168" s="52" t="s">
        <v>2022</v>
      </c>
      <c r="AL168" s="52" t="s">
        <v>1766</v>
      </c>
      <c r="AM168" s="52" t="s">
        <v>587</v>
      </c>
      <c r="AN168" s="52" t="s">
        <v>1766</v>
      </c>
      <c r="AO168" s="52" t="s">
        <v>1483</v>
      </c>
      <c r="AP168" s="52">
        <v>17525.0</v>
      </c>
      <c r="AQ168" s="52">
        <v>19525.0</v>
      </c>
      <c r="AR168" s="52" t="s">
        <v>53</v>
      </c>
      <c r="AS168" s="69">
        <v>45694.0</v>
      </c>
      <c r="AT168" s="70">
        <v>46021.0</v>
      </c>
      <c r="AU168" s="69">
        <v>45694.0</v>
      </c>
      <c r="AV168" s="70">
        <v>46021.0</v>
      </c>
      <c r="AW168" s="52" t="s">
        <v>1483</v>
      </c>
      <c r="AX168" s="52" t="s">
        <v>587</v>
      </c>
      <c r="AY168" s="52">
        <v>327.0</v>
      </c>
      <c r="AZ168" s="52" t="s">
        <v>2010</v>
      </c>
      <c r="BA168" s="73" t="s">
        <v>3005</v>
      </c>
      <c r="BB168" s="69">
        <v>45694.0</v>
      </c>
      <c r="BC168" s="52" t="s">
        <v>774</v>
      </c>
      <c r="BD168" s="52">
        <v>5.306585E7</v>
      </c>
      <c r="BE168" s="52" t="s">
        <v>2220</v>
      </c>
      <c r="BF168" s="52" t="s">
        <v>182</v>
      </c>
      <c r="BG168" s="52" t="s">
        <v>2041</v>
      </c>
      <c r="BH168" s="52" t="s">
        <v>668</v>
      </c>
      <c r="BI168" s="52" t="s">
        <v>2805</v>
      </c>
    </row>
    <row r="169">
      <c r="A169" s="52">
        <v>143.0</v>
      </c>
      <c r="B169" s="52" t="s">
        <v>776</v>
      </c>
      <c r="C169" s="52" t="s">
        <v>2005</v>
      </c>
      <c r="D169" s="52">
        <v>1.032465103E9</v>
      </c>
      <c r="E169" s="52" t="s">
        <v>1908</v>
      </c>
      <c r="F169" s="69">
        <v>45686.0</v>
      </c>
      <c r="G169" s="52" t="s">
        <v>778</v>
      </c>
      <c r="H169" s="52" t="s">
        <v>2008</v>
      </c>
      <c r="I169" s="52" t="s">
        <v>2008</v>
      </c>
      <c r="J169" s="52" t="s">
        <v>1478</v>
      </c>
      <c r="K169" s="52" t="s">
        <v>2059</v>
      </c>
      <c r="L169" s="52" t="s">
        <v>2010</v>
      </c>
      <c r="N169" s="52" t="s">
        <v>2010</v>
      </c>
      <c r="O169" s="69">
        <v>45685.0</v>
      </c>
      <c r="P169" s="52">
        <v>2.0251900007293E13</v>
      </c>
      <c r="Q169" s="52" t="s">
        <v>2059</v>
      </c>
      <c r="R169" s="69">
        <v>45685.0</v>
      </c>
      <c r="S169" s="52" t="s">
        <v>3006</v>
      </c>
      <c r="T169" s="52" t="s">
        <v>2013</v>
      </c>
      <c r="U169" s="52" t="s">
        <v>3007</v>
      </c>
      <c r="V169" s="52" t="s">
        <v>581</v>
      </c>
      <c r="W169" s="52" t="s">
        <v>1471</v>
      </c>
      <c r="X169" s="52" t="s">
        <v>583</v>
      </c>
      <c r="Y169" s="52" t="s">
        <v>777</v>
      </c>
      <c r="Z169" s="52" t="s">
        <v>2081</v>
      </c>
      <c r="AA169" s="52" t="s">
        <v>2016</v>
      </c>
      <c r="AB169" s="52" t="s">
        <v>2017</v>
      </c>
      <c r="AC169" s="52" t="s">
        <v>2018</v>
      </c>
      <c r="AD169" s="52" t="s">
        <v>587</v>
      </c>
      <c r="AE169" s="52" t="s">
        <v>2019</v>
      </c>
      <c r="AF169" s="69">
        <v>34546.0</v>
      </c>
      <c r="AG169" s="52">
        <v>31.0</v>
      </c>
      <c r="AH169" s="52" t="s">
        <v>1750</v>
      </c>
      <c r="AI169" s="52" t="s">
        <v>2667</v>
      </c>
      <c r="AJ169" s="52" t="s">
        <v>3008</v>
      </c>
      <c r="AK169" s="52" t="s">
        <v>2022</v>
      </c>
      <c r="AL169" s="52" t="s">
        <v>1767</v>
      </c>
      <c r="AM169" s="52" t="s">
        <v>587</v>
      </c>
      <c r="AN169" s="52" t="s">
        <v>1767</v>
      </c>
      <c r="AO169" s="52" t="s">
        <v>1483</v>
      </c>
      <c r="AP169" s="52">
        <v>21025.0</v>
      </c>
      <c r="AQ169" s="52">
        <v>15925.0</v>
      </c>
      <c r="AR169" s="52" t="s">
        <v>367</v>
      </c>
      <c r="AS169" s="69">
        <v>45688.0</v>
      </c>
      <c r="AT169" s="70">
        <v>46020.0</v>
      </c>
      <c r="AU169" s="69">
        <v>45688.0</v>
      </c>
      <c r="AV169" s="70">
        <v>46020.0</v>
      </c>
      <c r="AW169" s="52" t="s">
        <v>1483</v>
      </c>
      <c r="AX169" s="52" t="s">
        <v>587</v>
      </c>
      <c r="AY169" s="52">
        <v>332.0</v>
      </c>
      <c r="AZ169" s="52" t="s">
        <v>2010</v>
      </c>
      <c r="BA169" s="73" t="s">
        <v>3009</v>
      </c>
      <c r="BB169" s="69">
        <v>45688.0</v>
      </c>
      <c r="BC169" s="52" t="s">
        <v>779</v>
      </c>
      <c r="BD169" s="52">
        <v>7.9065076E7</v>
      </c>
      <c r="BE169" s="52" t="s">
        <v>3010</v>
      </c>
      <c r="BF169" s="52" t="s">
        <v>223</v>
      </c>
      <c r="BG169" s="52" t="s">
        <v>2041</v>
      </c>
      <c r="BH169" s="52" t="s">
        <v>673</v>
      </c>
      <c r="BI169" s="52" t="s">
        <v>2027</v>
      </c>
    </row>
    <row r="170">
      <c r="A170" s="52">
        <v>144.0</v>
      </c>
      <c r="B170" s="52" t="s">
        <v>782</v>
      </c>
      <c r="C170" s="52" t="s">
        <v>2005</v>
      </c>
      <c r="D170" s="52">
        <v>1.015471886E9</v>
      </c>
      <c r="E170" s="52" t="s">
        <v>1908</v>
      </c>
      <c r="F170" s="69">
        <v>45686.0</v>
      </c>
      <c r="G170" s="52" t="s">
        <v>784</v>
      </c>
      <c r="H170" s="52" t="s">
        <v>2068</v>
      </c>
      <c r="I170" s="52" t="s">
        <v>2068</v>
      </c>
      <c r="J170" s="52" t="s">
        <v>1478</v>
      </c>
      <c r="K170" s="52" t="s">
        <v>2059</v>
      </c>
      <c r="L170" s="52" t="s">
        <v>2010</v>
      </c>
      <c r="N170" s="52" t="s">
        <v>2010</v>
      </c>
      <c r="O170" s="69">
        <v>45685.0</v>
      </c>
      <c r="P170" s="52">
        <v>2.0251900007313E13</v>
      </c>
      <c r="Q170" s="52" t="s">
        <v>2059</v>
      </c>
      <c r="R170" s="69">
        <v>45685.0</v>
      </c>
      <c r="S170" s="52" t="s">
        <v>3011</v>
      </c>
      <c r="T170" s="52" t="s">
        <v>2013</v>
      </c>
      <c r="U170" s="52" t="s">
        <v>3012</v>
      </c>
      <c r="V170" s="52" t="s">
        <v>581</v>
      </c>
      <c r="W170" s="52" t="s">
        <v>1471</v>
      </c>
      <c r="X170" s="52" t="s">
        <v>781</v>
      </c>
      <c r="Y170" s="52" t="s">
        <v>783</v>
      </c>
      <c r="Z170" s="52" t="s">
        <v>2081</v>
      </c>
      <c r="AA170" s="52" t="s">
        <v>2016</v>
      </c>
      <c r="AB170" s="52" t="s">
        <v>2017</v>
      </c>
      <c r="AC170" s="52" t="s">
        <v>2054</v>
      </c>
      <c r="AD170" s="52" t="s">
        <v>587</v>
      </c>
      <c r="AE170" s="52" t="s">
        <v>2019</v>
      </c>
      <c r="AF170" s="70">
        <v>35748.0</v>
      </c>
      <c r="AG170" s="52">
        <v>28.0</v>
      </c>
      <c r="AH170" s="52" t="s">
        <v>1768</v>
      </c>
      <c r="AI170" s="52" t="s">
        <v>3013</v>
      </c>
      <c r="AJ170" s="52" t="s">
        <v>3014</v>
      </c>
      <c r="AK170" s="52" t="s">
        <v>2022</v>
      </c>
      <c r="AL170" s="52" t="s">
        <v>1769</v>
      </c>
      <c r="AM170" s="52" t="s">
        <v>587</v>
      </c>
      <c r="AN170" s="52" t="s">
        <v>1769</v>
      </c>
      <c r="AO170" s="52" t="s">
        <v>1483</v>
      </c>
      <c r="AP170" s="52">
        <v>20825.0</v>
      </c>
      <c r="AQ170" s="52">
        <v>15525.0</v>
      </c>
      <c r="AR170" s="52" t="s">
        <v>367</v>
      </c>
      <c r="AS170" s="69">
        <v>45688.0</v>
      </c>
      <c r="AT170" s="70">
        <v>46022.0</v>
      </c>
      <c r="AU170" s="69">
        <v>45688.0</v>
      </c>
      <c r="AV170" s="70">
        <v>46022.0</v>
      </c>
      <c r="AW170" s="52" t="s">
        <v>1483</v>
      </c>
      <c r="AX170" s="52" t="s">
        <v>587</v>
      </c>
      <c r="AY170" s="52">
        <v>334.0</v>
      </c>
      <c r="AZ170" s="52" t="s">
        <v>2010</v>
      </c>
      <c r="BA170" s="73" t="s">
        <v>3015</v>
      </c>
      <c r="BB170" s="69">
        <v>45688.0</v>
      </c>
      <c r="BC170" s="52" t="s">
        <v>433</v>
      </c>
      <c r="BD170" s="52">
        <v>1.02071366E9</v>
      </c>
      <c r="BE170" s="52" t="s">
        <v>2790</v>
      </c>
      <c r="BF170" s="52" t="s">
        <v>223</v>
      </c>
      <c r="BG170" s="52" t="s">
        <v>2041</v>
      </c>
      <c r="BH170" s="52" t="s">
        <v>677</v>
      </c>
      <c r="BI170" s="52" t="s">
        <v>2027</v>
      </c>
    </row>
    <row r="171">
      <c r="A171" s="52">
        <v>145.0</v>
      </c>
      <c r="B171" s="52" t="s">
        <v>786</v>
      </c>
      <c r="C171" s="52" t="s">
        <v>2005</v>
      </c>
      <c r="D171" s="52">
        <v>5.2181636E7</v>
      </c>
      <c r="E171" s="52" t="s">
        <v>1908</v>
      </c>
      <c r="F171" s="69">
        <v>45691.0</v>
      </c>
      <c r="G171" s="52" t="s">
        <v>788</v>
      </c>
      <c r="H171" s="52" t="s">
        <v>2068</v>
      </c>
      <c r="I171" s="52" t="s">
        <v>2068</v>
      </c>
      <c r="J171" s="52" t="s">
        <v>1478</v>
      </c>
      <c r="K171" s="52" t="s">
        <v>2059</v>
      </c>
      <c r="L171" s="52" t="s">
        <v>2010</v>
      </c>
      <c r="N171" s="52" t="s">
        <v>2010</v>
      </c>
      <c r="O171" s="69">
        <v>45685.0</v>
      </c>
      <c r="P171" s="52">
        <v>2.0251900007303E13</v>
      </c>
      <c r="Q171" s="52" t="s">
        <v>2059</v>
      </c>
      <c r="R171" s="69">
        <v>45685.0</v>
      </c>
      <c r="S171" s="52" t="s">
        <v>3016</v>
      </c>
      <c r="T171" s="52" t="s">
        <v>2013</v>
      </c>
      <c r="U171" s="52" t="s">
        <v>3017</v>
      </c>
      <c r="V171" s="52" t="s">
        <v>581</v>
      </c>
      <c r="W171" s="52" t="s">
        <v>1471</v>
      </c>
      <c r="X171" s="52" t="s">
        <v>583</v>
      </c>
      <c r="Y171" s="52" t="s">
        <v>787</v>
      </c>
      <c r="Z171" s="52" t="s">
        <v>2015</v>
      </c>
      <c r="AA171" s="52" t="s">
        <v>2016</v>
      </c>
      <c r="AB171" s="52" t="s">
        <v>2062</v>
      </c>
      <c r="AC171" s="52" t="s">
        <v>2063</v>
      </c>
      <c r="AD171" s="52" t="s">
        <v>587</v>
      </c>
      <c r="AE171" s="52" t="s">
        <v>2019</v>
      </c>
      <c r="AF171" s="69">
        <v>27193.0</v>
      </c>
      <c r="AG171" s="52">
        <v>51.0</v>
      </c>
      <c r="AH171" s="52" t="s">
        <v>1770</v>
      </c>
      <c r="AI171" s="52" t="s">
        <v>3018</v>
      </c>
      <c r="AJ171" s="52" t="s">
        <v>3019</v>
      </c>
      <c r="AK171" s="52" t="s">
        <v>2022</v>
      </c>
      <c r="AL171" s="52" t="s">
        <v>1771</v>
      </c>
      <c r="AM171" s="52" t="s">
        <v>587</v>
      </c>
      <c r="AN171" s="52" t="s">
        <v>1771</v>
      </c>
      <c r="AO171" s="52" t="s">
        <v>1483</v>
      </c>
      <c r="AP171" s="52">
        <v>20625.0</v>
      </c>
      <c r="AQ171" s="52">
        <v>17725.0</v>
      </c>
      <c r="AR171" s="52" t="s">
        <v>67</v>
      </c>
      <c r="AS171" s="69">
        <v>45693.0</v>
      </c>
      <c r="AT171" s="70">
        <v>46022.0</v>
      </c>
      <c r="AU171" s="69">
        <v>45693.0</v>
      </c>
      <c r="AV171" s="70">
        <v>46022.0</v>
      </c>
      <c r="AW171" s="52" t="s">
        <v>1483</v>
      </c>
      <c r="AX171" s="52" t="s">
        <v>587</v>
      </c>
      <c r="AY171" s="52">
        <v>329.0</v>
      </c>
      <c r="AZ171" s="52" t="s">
        <v>2010</v>
      </c>
      <c r="BA171" s="73" t="s">
        <v>3020</v>
      </c>
      <c r="BB171" s="69">
        <v>45693.0</v>
      </c>
      <c r="BC171" s="52" t="s">
        <v>222</v>
      </c>
      <c r="BD171" s="52">
        <v>1.026254981E9</v>
      </c>
      <c r="BE171" s="52" t="s">
        <v>2256</v>
      </c>
      <c r="BF171" s="52" t="s">
        <v>789</v>
      </c>
      <c r="BG171" s="52" t="s">
        <v>2041</v>
      </c>
      <c r="BH171" s="52" t="s">
        <v>681</v>
      </c>
      <c r="BI171" s="52" t="s">
        <v>2805</v>
      </c>
    </row>
    <row r="172">
      <c r="A172" s="52">
        <v>146.0</v>
      </c>
      <c r="B172" s="52" t="s">
        <v>791</v>
      </c>
      <c r="C172" s="52" t="s">
        <v>2005</v>
      </c>
      <c r="D172" s="52">
        <v>9.1013621E7</v>
      </c>
      <c r="E172" s="52" t="s">
        <v>1908</v>
      </c>
      <c r="F172" s="69">
        <v>45686.0</v>
      </c>
      <c r="G172" s="52" t="s">
        <v>793</v>
      </c>
      <c r="H172" s="52" t="s">
        <v>2068</v>
      </c>
      <c r="I172" s="52" t="s">
        <v>2068</v>
      </c>
      <c r="J172" s="52" t="s">
        <v>1478</v>
      </c>
      <c r="K172" s="52" t="s">
        <v>2059</v>
      </c>
      <c r="L172" s="52" t="s">
        <v>2010</v>
      </c>
      <c r="N172" s="52" t="s">
        <v>2010</v>
      </c>
      <c r="O172" s="69">
        <v>45685.0</v>
      </c>
      <c r="P172" s="52">
        <v>2.0251900007323E13</v>
      </c>
      <c r="Q172" s="52" t="s">
        <v>2059</v>
      </c>
      <c r="R172" s="69">
        <v>45685.0</v>
      </c>
      <c r="S172" s="52" t="s">
        <v>3021</v>
      </c>
      <c r="T172" s="52" t="s">
        <v>2013</v>
      </c>
      <c r="U172" s="52" t="s">
        <v>3022</v>
      </c>
      <c r="V172" s="52" t="s">
        <v>581</v>
      </c>
      <c r="W172" s="52" t="s">
        <v>1471</v>
      </c>
      <c r="X172" s="52" t="s">
        <v>583</v>
      </c>
      <c r="Y172" s="52" t="s">
        <v>792</v>
      </c>
      <c r="Z172" s="52" t="s">
        <v>2081</v>
      </c>
      <c r="AA172" s="52" t="s">
        <v>3023</v>
      </c>
      <c r="AB172" s="52" t="s">
        <v>2062</v>
      </c>
      <c r="AC172" s="52" t="s">
        <v>2018</v>
      </c>
      <c r="AD172" s="52" t="s">
        <v>587</v>
      </c>
      <c r="AE172" s="52" t="s">
        <v>3024</v>
      </c>
      <c r="AF172" s="69">
        <v>25458.0</v>
      </c>
      <c r="AG172" s="52">
        <v>56.0</v>
      </c>
      <c r="AH172" s="52" t="s">
        <v>1625</v>
      </c>
      <c r="AI172" s="52" t="s">
        <v>3025</v>
      </c>
      <c r="AJ172" s="52" t="s">
        <v>3026</v>
      </c>
      <c r="AK172" s="52" t="s">
        <v>2022</v>
      </c>
      <c r="AL172" s="52" t="s">
        <v>1771</v>
      </c>
      <c r="AM172" s="52" t="s">
        <v>587</v>
      </c>
      <c r="AN172" s="52" t="s">
        <v>1771</v>
      </c>
      <c r="AO172" s="52" t="s">
        <v>1483</v>
      </c>
      <c r="AP172" s="52">
        <v>20725.0</v>
      </c>
      <c r="AQ172" s="52">
        <v>15825.0</v>
      </c>
      <c r="AR172" s="52" t="s">
        <v>67</v>
      </c>
      <c r="AS172" s="69">
        <v>45688.0</v>
      </c>
      <c r="AT172" s="70">
        <v>46020.0</v>
      </c>
      <c r="AU172" s="69">
        <v>45688.0</v>
      </c>
      <c r="AV172" s="70">
        <v>46020.0</v>
      </c>
      <c r="AW172" s="52" t="s">
        <v>1483</v>
      </c>
      <c r="AX172" s="52" t="s">
        <v>587</v>
      </c>
      <c r="AY172" s="52">
        <v>332.0</v>
      </c>
      <c r="AZ172" s="52" t="s">
        <v>2010</v>
      </c>
      <c r="BA172" s="73" t="s">
        <v>2887</v>
      </c>
      <c r="BB172" s="69">
        <v>45688.0</v>
      </c>
      <c r="BC172" s="52" t="s">
        <v>794</v>
      </c>
      <c r="BD172" s="69">
        <v>1.9312772E7</v>
      </c>
      <c r="BE172" s="52" t="s">
        <v>2687</v>
      </c>
      <c r="BF172" s="52" t="s">
        <v>223</v>
      </c>
      <c r="BG172" s="52" t="s">
        <v>2041</v>
      </c>
      <c r="BH172" s="52" t="s">
        <v>686</v>
      </c>
      <c r="BI172" s="52" t="s">
        <v>2027</v>
      </c>
    </row>
    <row r="173">
      <c r="A173" s="52">
        <v>147.0</v>
      </c>
      <c r="B173" s="52" t="s">
        <v>796</v>
      </c>
      <c r="C173" s="52" t="s">
        <v>2005</v>
      </c>
      <c r="D173" s="52">
        <v>1.072714553E9</v>
      </c>
      <c r="E173" s="52" t="s">
        <v>1908</v>
      </c>
      <c r="F173" s="69">
        <v>45687.0</v>
      </c>
      <c r="G173" s="52" t="s">
        <v>798</v>
      </c>
      <c r="H173" s="52" t="s">
        <v>2042</v>
      </c>
      <c r="I173" s="52" t="s">
        <v>2042</v>
      </c>
      <c r="J173" s="52" t="s">
        <v>1478</v>
      </c>
      <c r="K173" s="52" t="s">
        <v>2213</v>
      </c>
      <c r="L173" s="52" t="s">
        <v>2010</v>
      </c>
      <c r="N173" s="52" t="s">
        <v>2010</v>
      </c>
      <c r="O173" s="69">
        <v>45685.0</v>
      </c>
      <c r="P173" s="52">
        <v>2.0251500007443E13</v>
      </c>
      <c r="Q173" s="52" t="s">
        <v>2213</v>
      </c>
      <c r="R173" s="69">
        <v>45685.0</v>
      </c>
      <c r="S173" s="52" t="s">
        <v>3027</v>
      </c>
      <c r="T173" s="52" t="s">
        <v>2013</v>
      </c>
      <c r="U173" s="52" t="s">
        <v>3028</v>
      </c>
      <c r="V173" s="52" t="s">
        <v>581</v>
      </c>
      <c r="W173" s="52" t="s">
        <v>1471</v>
      </c>
      <c r="X173" s="52" t="s">
        <v>583</v>
      </c>
      <c r="Y173" s="52" t="s">
        <v>797</v>
      </c>
      <c r="Z173" s="52" t="s">
        <v>2081</v>
      </c>
      <c r="AA173" s="52" t="s">
        <v>2016</v>
      </c>
      <c r="AB173" s="52" t="s">
        <v>2032</v>
      </c>
      <c r="AC173" s="52" t="s">
        <v>2824</v>
      </c>
      <c r="AD173" s="52" t="s">
        <v>587</v>
      </c>
      <c r="AE173" s="52" t="s">
        <v>2019</v>
      </c>
      <c r="AF173" s="69">
        <v>35617.0</v>
      </c>
      <c r="AG173" s="52">
        <v>28.0</v>
      </c>
      <c r="AH173" s="52" t="s">
        <v>1772</v>
      </c>
      <c r="AI173" s="52" t="s">
        <v>3029</v>
      </c>
      <c r="AJ173" s="52" t="s">
        <v>3030</v>
      </c>
      <c r="AK173" s="52" t="s">
        <v>2022</v>
      </c>
      <c r="AL173" s="52" t="s">
        <v>1773</v>
      </c>
      <c r="AM173" s="52" t="s">
        <v>587</v>
      </c>
      <c r="AN173" s="52" t="s">
        <v>1773</v>
      </c>
      <c r="AO173" s="52" t="s">
        <v>1483</v>
      </c>
      <c r="AP173" s="52">
        <v>17625.0</v>
      </c>
      <c r="AQ173" s="52">
        <v>16525.0</v>
      </c>
      <c r="AR173" s="52" t="s">
        <v>53</v>
      </c>
      <c r="AS173" s="69">
        <v>45688.0</v>
      </c>
      <c r="AT173" s="70">
        <v>46022.0</v>
      </c>
      <c r="AU173" s="69">
        <v>45691.0</v>
      </c>
      <c r="AV173" s="70">
        <v>46022.0</v>
      </c>
      <c r="AW173" s="52" t="s">
        <v>1483</v>
      </c>
      <c r="AX173" s="52" t="s">
        <v>587</v>
      </c>
      <c r="AY173" s="52">
        <v>331.0</v>
      </c>
      <c r="AZ173" s="52" t="s">
        <v>2010</v>
      </c>
      <c r="BA173" s="73" t="s">
        <v>3031</v>
      </c>
      <c r="BB173" s="69">
        <v>45691.0</v>
      </c>
      <c r="BC173" s="52" t="s">
        <v>774</v>
      </c>
      <c r="BD173" s="52">
        <v>5.306585E7</v>
      </c>
      <c r="BE173" s="52" t="s">
        <v>2220</v>
      </c>
      <c r="BF173" s="52" t="s">
        <v>182</v>
      </c>
      <c r="BG173" s="52" t="s">
        <v>2041</v>
      </c>
      <c r="BH173" s="52" t="s">
        <v>690</v>
      </c>
      <c r="BI173" s="52" t="s">
        <v>2805</v>
      </c>
    </row>
    <row r="174">
      <c r="A174" s="52">
        <v>148.0</v>
      </c>
      <c r="B174" s="52" t="s">
        <v>800</v>
      </c>
      <c r="C174" s="52" t="s">
        <v>2005</v>
      </c>
      <c r="D174" s="52">
        <v>1.030634155E9</v>
      </c>
      <c r="E174" s="52" t="s">
        <v>1908</v>
      </c>
      <c r="F174" s="69">
        <v>45687.0</v>
      </c>
      <c r="G174" s="52" t="s">
        <v>802</v>
      </c>
      <c r="H174" s="52" t="s">
        <v>2042</v>
      </c>
      <c r="I174" s="52" t="s">
        <v>2042</v>
      </c>
      <c r="J174" s="52" t="s">
        <v>1478</v>
      </c>
      <c r="K174" s="52" t="s">
        <v>2213</v>
      </c>
      <c r="L174" s="52" t="s">
        <v>2010</v>
      </c>
      <c r="N174" s="52" t="s">
        <v>2010</v>
      </c>
      <c r="O174" s="69">
        <v>45685.0</v>
      </c>
      <c r="P174" s="52">
        <v>2.0251500007393E13</v>
      </c>
      <c r="Q174" s="52" t="s">
        <v>2213</v>
      </c>
      <c r="R174" s="69">
        <v>45685.0</v>
      </c>
      <c r="S174" s="52" t="s">
        <v>3032</v>
      </c>
      <c r="T174" s="52" t="s">
        <v>2013</v>
      </c>
      <c r="U174" s="52" t="s">
        <v>3033</v>
      </c>
      <c r="V174" s="52" t="s">
        <v>581</v>
      </c>
      <c r="W174" s="52" t="s">
        <v>1471</v>
      </c>
      <c r="X174" s="52" t="s">
        <v>583</v>
      </c>
      <c r="Y174" s="52" t="s">
        <v>801</v>
      </c>
      <c r="Z174" s="52" t="s">
        <v>2081</v>
      </c>
      <c r="AA174" s="52" t="s">
        <v>2016</v>
      </c>
      <c r="AB174" s="52" t="s">
        <v>2017</v>
      </c>
      <c r="AC174" s="52" t="s">
        <v>2054</v>
      </c>
      <c r="AD174" s="52" t="s">
        <v>587</v>
      </c>
      <c r="AE174" s="52" t="s">
        <v>2019</v>
      </c>
      <c r="AF174" s="70">
        <v>34327.0</v>
      </c>
      <c r="AG174" s="52">
        <v>32.0</v>
      </c>
      <c r="AH174" s="52" t="s">
        <v>1750</v>
      </c>
      <c r="AI174" s="52" t="s">
        <v>3034</v>
      </c>
      <c r="AJ174" s="52" t="s">
        <v>3035</v>
      </c>
      <c r="AK174" s="52" t="s">
        <v>2022</v>
      </c>
      <c r="AL174" s="52" t="s">
        <v>1773</v>
      </c>
      <c r="AM174" s="52" t="s">
        <v>587</v>
      </c>
      <c r="AN174" s="52" t="s">
        <v>1773</v>
      </c>
      <c r="AO174" s="52" t="s">
        <v>1483</v>
      </c>
      <c r="AP174" s="52">
        <v>17425.0</v>
      </c>
      <c r="AQ174" s="52">
        <v>16425.0</v>
      </c>
      <c r="AR174" s="52" t="s">
        <v>53</v>
      </c>
      <c r="AS174" s="69">
        <v>45688.0</v>
      </c>
      <c r="AT174" s="70">
        <v>46022.0</v>
      </c>
      <c r="AU174" s="69">
        <v>45691.0</v>
      </c>
      <c r="AV174" s="70">
        <v>46022.0</v>
      </c>
      <c r="AW174" s="52" t="s">
        <v>1483</v>
      </c>
      <c r="AX174" s="52" t="s">
        <v>587</v>
      </c>
      <c r="AY174" s="52">
        <v>331.0</v>
      </c>
      <c r="AZ174" s="52" t="s">
        <v>2010</v>
      </c>
      <c r="BA174" s="73" t="s">
        <v>3036</v>
      </c>
      <c r="BB174" s="69">
        <v>45691.0</v>
      </c>
      <c r="BC174" s="52" t="s">
        <v>774</v>
      </c>
      <c r="BD174" s="52">
        <v>5.306585E7</v>
      </c>
      <c r="BE174" s="52" t="s">
        <v>2220</v>
      </c>
      <c r="BF174" s="52" t="s">
        <v>182</v>
      </c>
      <c r="BG174" s="52" t="s">
        <v>2041</v>
      </c>
      <c r="BH174" s="52" t="s">
        <v>694</v>
      </c>
      <c r="BI174" s="52" t="s">
        <v>2805</v>
      </c>
    </row>
    <row r="175">
      <c r="A175" s="52">
        <v>149.0</v>
      </c>
      <c r="B175" s="52" t="s">
        <v>803</v>
      </c>
      <c r="C175" s="52" t="s">
        <v>2005</v>
      </c>
      <c r="D175" s="52">
        <v>1.055272277E9</v>
      </c>
      <c r="E175" s="52" t="s">
        <v>1908</v>
      </c>
      <c r="F175" s="69">
        <v>45687.0</v>
      </c>
      <c r="G175" s="52" t="s">
        <v>805</v>
      </c>
      <c r="H175" s="52" t="s">
        <v>2042</v>
      </c>
      <c r="I175" s="52" t="s">
        <v>2042</v>
      </c>
      <c r="J175" s="52" t="s">
        <v>1478</v>
      </c>
      <c r="K175" s="52" t="s">
        <v>2213</v>
      </c>
      <c r="L175" s="52" t="s">
        <v>2010</v>
      </c>
      <c r="N175" s="52" t="s">
        <v>2010</v>
      </c>
      <c r="O175" s="69">
        <v>45685.0</v>
      </c>
      <c r="P175" s="52">
        <v>2.0251500007383E13</v>
      </c>
      <c r="Q175" s="52" t="s">
        <v>2213</v>
      </c>
      <c r="R175" s="69">
        <v>45685.0</v>
      </c>
      <c r="S175" s="52" t="s">
        <v>3037</v>
      </c>
      <c r="T175" s="52" t="s">
        <v>2013</v>
      </c>
      <c r="U175" s="52" t="s">
        <v>3038</v>
      </c>
      <c r="V175" s="52" t="s">
        <v>581</v>
      </c>
      <c r="W175" s="52" t="s">
        <v>1471</v>
      </c>
      <c r="X175" s="52" t="s">
        <v>781</v>
      </c>
      <c r="Y175" s="52" t="s">
        <v>804</v>
      </c>
      <c r="Z175" s="52" t="s">
        <v>2081</v>
      </c>
      <c r="AA175" s="52" t="s">
        <v>2016</v>
      </c>
      <c r="AB175" s="52" t="s">
        <v>2032</v>
      </c>
      <c r="AC175" s="52" t="s">
        <v>2082</v>
      </c>
      <c r="AD175" s="52" t="s">
        <v>587</v>
      </c>
      <c r="AE175" s="52" t="s">
        <v>3039</v>
      </c>
      <c r="AF175" s="69">
        <v>36916.0</v>
      </c>
      <c r="AG175" s="52">
        <v>24.0</v>
      </c>
      <c r="AH175" s="52" t="s">
        <v>1553</v>
      </c>
      <c r="AI175" s="52" t="s">
        <v>3040</v>
      </c>
      <c r="AJ175" s="52" t="s">
        <v>3041</v>
      </c>
      <c r="AK175" s="52" t="s">
        <v>2022</v>
      </c>
      <c r="AL175" s="52" t="s">
        <v>1774</v>
      </c>
      <c r="AM175" s="52" t="s">
        <v>587</v>
      </c>
      <c r="AN175" s="52" t="s">
        <v>1774</v>
      </c>
      <c r="AO175" s="52" t="s">
        <v>1483</v>
      </c>
      <c r="AP175" s="52">
        <v>17325.0</v>
      </c>
      <c r="AQ175" s="52">
        <v>16225.0</v>
      </c>
      <c r="AR175" s="52" t="s">
        <v>53</v>
      </c>
      <c r="AS175" s="69">
        <v>45688.0</v>
      </c>
      <c r="AT175" s="70">
        <v>46022.0</v>
      </c>
      <c r="AU175" s="69">
        <v>45688.0</v>
      </c>
      <c r="AV175" s="70">
        <v>46022.0</v>
      </c>
      <c r="AW175" s="52" t="s">
        <v>1483</v>
      </c>
      <c r="AX175" s="52" t="s">
        <v>587</v>
      </c>
      <c r="AY175" s="52">
        <v>334.0</v>
      </c>
      <c r="AZ175" s="52" t="s">
        <v>2010</v>
      </c>
      <c r="BA175" s="73" t="s">
        <v>3042</v>
      </c>
      <c r="BB175" s="69">
        <v>45688.0</v>
      </c>
      <c r="BC175" s="52" t="s">
        <v>252</v>
      </c>
      <c r="BD175" s="52">
        <v>1.053825946E9</v>
      </c>
      <c r="BE175" s="52" t="s">
        <v>2290</v>
      </c>
      <c r="BF175" s="52" t="s">
        <v>182</v>
      </c>
      <c r="BG175" s="52" t="s">
        <v>2041</v>
      </c>
      <c r="BH175" s="52" t="s">
        <v>699</v>
      </c>
      <c r="BI175" s="52" t="s">
        <v>2027</v>
      </c>
    </row>
    <row r="176">
      <c r="A176" s="52">
        <v>150.0</v>
      </c>
      <c r="B176" s="52" t="s">
        <v>807</v>
      </c>
      <c r="C176" s="52" t="s">
        <v>2005</v>
      </c>
      <c r="D176" s="52">
        <v>1.016069508E9</v>
      </c>
      <c r="E176" s="52" t="s">
        <v>1908</v>
      </c>
      <c r="F176" s="69">
        <v>45687.0</v>
      </c>
      <c r="G176" s="52" t="s">
        <v>809</v>
      </c>
      <c r="H176" s="52" t="s">
        <v>2291</v>
      </c>
      <c r="I176" s="52" t="s">
        <v>2042</v>
      </c>
      <c r="J176" s="52" t="s">
        <v>1478</v>
      </c>
      <c r="K176" s="52" t="s">
        <v>2213</v>
      </c>
      <c r="L176" s="52" t="s">
        <v>2010</v>
      </c>
      <c r="N176" s="52" t="s">
        <v>2010</v>
      </c>
      <c r="O176" s="69">
        <v>45685.0</v>
      </c>
      <c r="P176" s="52">
        <v>2.0251020007363E13</v>
      </c>
      <c r="Q176" s="52" t="s">
        <v>2213</v>
      </c>
      <c r="R176" s="69">
        <v>45685.0</v>
      </c>
      <c r="S176" s="52" t="s">
        <v>3043</v>
      </c>
      <c r="T176" s="52" t="s">
        <v>2013</v>
      </c>
      <c r="U176" s="52" t="s">
        <v>3044</v>
      </c>
      <c r="V176" s="52" t="s">
        <v>581</v>
      </c>
      <c r="W176" s="52" t="s">
        <v>1471</v>
      </c>
      <c r="X176" s="52" t="s">
        <v>583</v>
      </c>
      <c r="Y176" s="52" t="s">
        <v>808</v>
      </c>
      <c r="Z176" s="52" t="s">
        <v>2015</v>
      </c>
      <c r="AA176" s="52" t="s">
        <v>2054</v>
      </c>
      <c r="AB176" s="52" t="s">
        <v>2062</v>
      </c>
      <c r="AC176" s="52" t="s">
        <v>2018</v>
      </c>
      <c r="AD176" s="52" t="s">
        <v>587</v>
      </c>
      <c r="AE176" s="52" t="s">
        <v>2456</v>
      </c>
      <c r="AF176" s="69">
        <v>34599.0</v>
      </c>
      <c r="AG176" s="52">
        <v>31.0</v>
      </c>
      <c r="AH176" s="52" t="s">
        <v>1479</v>
      </c>
      <c r="AI176" s="52" t="s">
        <v>3045</v>
      </c>
      <c r="AJ176" s="52" t="s">
        <v>3046</v>
      </c>
      <c r="AK176" s="52" t="s">
        <v>2022</v>
      </c>
      <c r="AL176" s="52" t="s">
        <v>1775</v>
      </c>
      <c r="AM176" s="52" t="s">
        <v>587</v>
      </c>
      <c r="AN176" s="52" t="s">
        <v>1775</v>
      </c>
      <c r="AO176" s="52" t="s">
        <v>1483</v>
      </c>
      <c r="AP176" s="52">
        <v>19925.0</v>
      </c>
      <c r="AQ176" s="52">
        <v>16125.0</v>
      </c>
      <c r="AR176" s="52" t="s">
        <v>53</v>
      </c>
      <c r="AS176" s="69">
        <v>45688.0</v>
      </c>
      <c r="AT176" s="69">
        <v>45930.0</v>
      </c>
      <c r="AU176" s="69">
        <v>45688.0</v>
      </c>
      <c r="AV176" s="69">
        <v>45930.0</v>
      </c>
      <c r="AW176" s="52" t="s">
        <v>1483</v>
      </c>
      <c r="AX176" s="52" t="s">
        <v>587</v>
      </c>
      <c r="AY176" s="52">
        <v>242.0</v>
      </c>
      <c r="AZ176" s="52" t="s">
        <v>2010</v>
      </c>
      <c r="BA176" s="73" t="s">
        <v>3047</v>
      </c>
      <c r="BB176" s="69">
        <v>45688.0</v>
      </c>
      <c r="BC176" s="52" t="s">
        <v>500</v>
      </c>
      <c r="BD176" s="52">
        <v>7.9589657E7</v>
      </c>
      <c r="BE176" s="52" t="s">
        <v>2618</v>
      </c>
      <c r="BF176" s="52" t="s">
        <v>258</v>
      </c>
      <c r="BG176" s="52" t="s">
        <v>2041</v>
      </c>
      <c r="BH176" s="52" t="s">
        <v>703</v>
      </c>
      <c r="BI176" s="52" t="s">
        <v>2027</v>
      </c>
    </row>
    <row r="177">
      <c r="A177" s="52">
        <v>151.0</v>
      </c>
      <c r="B177" s="52" t="s">
        <v>811</v>
      </c>
      <c r="C177" s="52" t="s">
        <v>2005</v>
      </c>
      <c r="D177" s="52">
        <v>1.110461441E9</v>
      </c>
      <c r="E177" s="52" t="s">
        <v>1908</v>
      </c>
      <c r="F177" s="69">
        <v>45687.0</v>
      </c>
      <c r="G177" s="52" t="s">
        <v>813</v>
      </c>
      <c r="H177" s="52" t="s">
        <v>2291</v>
      </c>
      <c r="I177" s="52" t="s">
        <v>2042</v>
      </c>
      <c r="J177" s="52" t="s">
        <v>1478</v>
      </c>
      <c r="K177" s="52" t="s">
        <v>2213</v>
      </c>
      <c r="L177" s="52" t="s">
        <v>2010</v>
      </c>
      <c r="N177" s="52" t="s">
        <v>2010</v>
      </c>
      <c r="O177" s="69">
        <v>45685.0</v>
      </c>
      <c r="P177" s="52">
        <v>2.0251020007373E13</v>
      </c>
      <c r="Q177" s="52" t="s">
        <v>2213</v>
      </c>
      <c r="R177" s="69">
        <v>45685.0</v>
      </c>
      <c r="S177" s="52" t="s">
        <v>3048</v>
      </c>
      <c r="T177" s="52" t="s">
        <v>2013</v>
      </c>
      <c r="U177" s="52" t="s">
        <v>3049</v>
      </c>
      <c r="V177" s="52" t="s">
        <v>581</v>
      </c>
      <c r="W177" s="52" t="s">
        <v>1471</v>
      </c>
      <c r="X177" s="52" t="s">
        <v>583</v>
      </c>
      <c r="Y177" s="52" t="s">
        <v>812</v>
      </c>
      <c r="Z177" s="52" t="s">
        <v>2081</v>
      </c>
      <c r="AA177" s="52" t="s">
        <v>2016</v>
      </c>
      <c r="AB177" s="52" t="s">
        <v>2017</v>
      </c>
      <c r="AC177" s="52" t="s">
        <v>2063</v>
      </c>
      <c r="AD177" s="52" t="s">
        <v>587</v>
      </c>
      <c r="AE177" s="52" t="s">
        <v>3050</v>
      </c>
      <c r="AF177" s="69">
        <v>31969.0</v>
      </c>
      <c r="AG177" s="52">
        <v>38.0</v>
      </c>
      <c r="AH177" s="52" t="s">
        <v>1472</v>
      </c>
      <c r="AI177" s="52" t="s">
        <v>3051</v>
      </c>
      <c r="AJ177" s="52" t="s">
        <v>3052</v>
      </c>
      <c r="AK177" s="52" t="s">
        <v>2022</v>
      </c>
      <c r="AL177" s="52" t="s">
        <v>1776</v>
      </c>
      <c r="AM177" s="52" t="s">
        <v>587</v>
      </c>
      <c r="AN177" s="52" t="s">
        <v>1776</v>
      </c>
      <c r="AO177" s="52" t="s">
        <v>1483</v>
      </c>
      <c r="AP177" s="52">
        <v>20025.0</v>
      </c>
      <c r="AQ177" s="52">
        <v>16325.0</v>
      </c>
      <c r="AR177" s="52" t="s">
        <v>53</v>
      </c>
      <c r="AS177" s="69">
        <v>45688.0</v>
      </c>
      <c r="AT177" s="70">
        <v>46021.0</v>
      </c>
      <c r="AU177" s="69">
        <v>45688.0</v>
      </c>
      <c r="AV177" s="70">
        <v>46021.0</v>
      </c>
      <c r="AW177" s="52" t="s">
        <v>1483</v>
      </c>
      <c r="AX177" s="52" t="s">
        <v>587</v>
      </c>
      <c r="AY177" s="52">
        <v>333.0</v>
      </c>
      <c r="AZ177" s="52" t="s">
        <v>2010</v>
      </c>
      <c r="BA177" s="73" t="s">
        <v>3053</v>
      </c>
      <c r="BB177" s="69">
        <v>45688.0</v>
      </c>
      <c r="BC177" s="52" t="s">
        <v>500</v>
      </c>
      <c r="BD177" s="52">
        <v>7.9589657E7</v>
      </c>
      <c r="BE177" s="52" t="s">
        <v>2618</v>
      </c>
      <c r="BF177" s="52" t="s">
        <v>258</v>
      </c>
      <c r="BG177" s="52" t="s">
        <v>2041</v>
      </c>
      <c r="BH177" s="52" t="s">
        <v>708</v>
      </c>
      <c r="BI177" s="52" t="s">
        <v>2027</v>
      </c>
    </row>
    <row r="178">
      <c r="A178" s="52">
        <v>152.0</v>
      </c>
      <c r="B178" s="52" t="s">
        <v>815</v>
      </c>
      <c r="C178" s="52" t="s">
        <v>2005</v>
      </c>
      <c r="D178" s="52">
        <v>1.032362123E9</v>
      </c>
      <c r="E178" s="52" t="s">
        <v>1908</v>
      </c>
      <c r="F178" s="69">
        <v>45691.0</v>
      </c>
      <c r="G178" s="52" t="s">
        <v>817</v>
      </c>
      <c r="H178" s="52" t="s">
        <v>2291</v>
      </c>
      <c r="I178" s="52" t="s">
        <v>2088</v>
      </c>
      <c r="J178" s="52" t="s">
        <v>1478</v>
      </c>
      <c r="K178" s="52" t="s">
        <v>2612</v>
      </c>
      <c r="L178" s="52" t="s">
        <v>2010</v>
      </c>
      <c r="N178" s="52" t="s">
        <v>2010</v>
      </c>
      <c r="O178" s="69">
        <v>45685.0</v>
      </c>
      <c r="P178" s="52">
        <v>2.0251020007473E13</v>
      </c>
      <c r="Q178" s="52" t="s">
        <v>2612</v>
      </c>
      <c r="R178" s="69">
        <v>45686.0</v>
      </c>
      <c r="S178" s="52" t="s">
        <v>3054</v>
      </c>
      <c r="T178" s="52" t="s">
        <v>2013</v>
      </c>
      <c r="U178" s="52" t="s">
        <v>3055</v>
      </c>
      <c r="V178" s="52" t="s">
        <v>581</v>
      </c>
      <c r="W178" s="52" t="s">
        <v>1471</v>
      </c>
      <c r="X178" s="52" t="s">
        <v>583</v>
      </c>
      <c r="Y178" s="52" t="s">
        <v>816</v>
      </c>
      <c r="Z178" s="52" t="s">
        <v>2081</v>
      </c>
      <c r="AA178" s="52" t="s">
        <v>2016</v>
      </c>
      <c r="AB178" s="52" t="s">
        <v>2017</v>
      </c>
      <c r="AC178" s="52" t="s">
        <v>2114</v>
      </c>
      <c r="AD178" s="52" t="s">
        <v>587</v>
      </c>
      <c r="AE178" s="52" t="s">
        <v>2019</v>
      </c>
      <c r="AF178" s="69">
        <v>31573.0</v>
      </c>
      <c r="AG178" s="52">
        <v>39.0</v>
      </c>
      <c r="AH178" s="52" t="s">
        <v>1472</v>
      </c>
      <c r="AI178" s="52" t="s">
        <v>3056</v>
      </c>
      <c r="AJ178" s="52" t="s">
        <v>3057</v>
      </c>
      <c r="AK178" s="52" t="s">
        <v>2022</v>
      </c>
      <c r="AL178" s="52" t="s">
        <v>1777</v>
      </c>
      <c r="AM178" s="52" t="s">
        <v>587</v>
      </c>
      <c r="AN178" s="52" t="s">
        <v>1777</v>
      </c>
      <c r="AO178" s="52" t="s">
        <v>1483</v>
      </c>
      <c r="AP178" s="52">
        <v>14525.0</v>
      </c>
      <c r="AQ178" s="52">
        <v>19325.0</v>
      </c>
      <c r="AR178" s="52" t="s">
        <v>77</v>
      </c>
      <c r="AS178" s="69">
        <v>45694.0</v>
      </c>
      <c r="AT178" s="70">
        <v>45978.0</v>
      </c>
      <c r="AU178" s="69">
        <v>45694.0</v>
      </c>
      <c r="AV178" s="70">
        <v>45978.0</v>
      </c>
      <c r="AW178" s="52" t="s">
        <v>1483</v>
      </c>
      <c r="AX178" s="52" t="s">
        <v>587</v>
      </c>
      <c r="AY178" s="52">
        <v>284.0</v>
      </c>
      <c r="AZ178" s="52" t="s">
        <v>2010</v>
      </c>
      <c r="BA178" s="73" t="s">
        <v>3058</v>
      </c>
      <c r="BB178" s="69">
        <v>45693.0</v>
      </c>
      <c r="BC178" s="52" t="s">
        <v>500</v>
      </c>
      <c r="BD178" s="52">
        <v>7.9589657E7</v>
      </c>
      <c r="BE178" s="52" t="s">
        <v>2618</v>
      </c>
      <c r="BF178" s="52" t="s">
        <v>258</v>
      </c>
      <c r="BG178" s="52" t="s">
        <v>2041</v>
      </c>
      <c r="BH178" s="52" t="s">
        <v>713</v>
      </c>
      <c r="BI178" s="52" t="s">
        <v>2805</v>
      </c>
    </row>
    <row r="179">
      <c r="A179" s="52">
        <v>153.0</v>
      </c>
      <c r="B179" s="52" t="s">
        <v>819</v>
      </c>
      <c r="C179" s="52" t="s">
        <v>2005</v>
      </c>
      <c r="D179" s="52">
        <v>5.530598E7</v>
      </c>
      <c r="E179" s="52" t="s">
        <v>1908</v>
      </c>
      <c r="F179" s="69">
        <v>45691.0</v>
      </c>
      <c r="G179" s="52" t="s">
        <v>821</v>
      </c>
      <c r="H179" s="52" t="s">
        <v>2813</v>
      </c>
      <c r="I179" s="52" t="s">
        <v>2177</v>
      </c>
      <c r="J179" s="52" t="s">
        <v>1478</v>
      </c>
      <c r="K179" s="52" t="s">
        <v>2612</v>
      </c>
      <c r="L179" s="52" t="s">
        <v>2010</v>
      </c>
      <c r="N179" s="52" t="s">
        <v>2010</v>
      </c>
      <c r="O179" s="69">
        <v>45686.0</v>
      </c>
      <c r="P179" s="52">
        <v>2.0251020007523E13</v>
      </c>
      <c r="Q179" s="52" t="s">
        <v>2612</v>
      </c>
      <c r="R179" s="69">
        <v>45686.0</v>
      </c>
      <c r="S179" s="52" t="s">
        <v>3059</v>
      </c>
      <c r="T179" s="52" t="s">
        <v>2013</v>
      </c>
      <c r="U179" s="52" t="s">
        <v>3060</v>
      </c>
      <c r="V179" s="52" t="s">
        <v>581</v>
      </c>
      <c r="W179" s="52" t="s">
        <v>1471</v>
      </c>
      <c r="X179" s="52" t="s">
        <v>583</v>
      </c>
      <c r="Y179" s="52" t="s">
        <v>820</v>
      </c>
      <c r="Z179" s="52" t="s">
        <v>2015</v>
      </c>
      <c r="AA179" s="52" t="s">
        <v>2016</v>
      </c>
      <c r="AB179" s="52" t="s">
        <v>2017</v>
      </c>
      <c r="AC179" s="52" t="s">
        <v>2054</v>
      </c>
      <c r="AD179" s="52" t="s">
        <v>587</v>
      </c>
      <c r="AE179" s="52" t="s">
        <v>3061</v>
      </c>
      <c r="AF179" s="69">
        <v>31090.0</v>
      </c>
      <c r="AG179" s="52">
        <v>40.0</v>
      </c>
      <c r="AH179" s="52" t="s">
        <v>1479</v>
      </c>
      <c r="AI179" s="52" t="s">
        <v>3062</v>
      </c>
      <c r="AJ179" s="52" t="s">
        <v>3063</v>
      </c>
      <c r="AK179" s="52" t="s">
        <v>2022</v>
      </c>
      <c r="AL179" s="52" t="s">
        <v>1664</v>
      </c>
      <c r="AM179" s="52" t="s">
        <v>587</v>
      </c>
      <c r="AN179" s="52" t="s">
        <v>1664</v>
      </c>
      <c r="AO179" s="52" t="s">
        <v>1483</v>
      </c>
      <c r="AP179" s="52">
        <v>16525.0</v>
      </c>
      <c r="AQ179" s="52">
        <v>18625.0</v>
      </c>
      <c r="AR179" s="52" t="s">
        <v>152</v>
      </c>
      <c r="AS179" s="69">
        <v>45693.0</v>
      </c>
      <c r="AT179" s="70">
        <v>45995.0</v>
      </c>
      <c r="AU179" s="69">
        <v>45693.0</v>
      </c>
      <c r="AV179" s="70">
        <v>45995.0</v>
      </c>
      <c r="AW179" s="52" t="s">
        <v>1483</v>
      </c>
      <c r="AX179" s="52" t="s">
        <v>587</v>
      </c>
      <c r="AY179" s="52">
        <v>302.0</v>
      </c>
      <c r="AZ179" s="52" t="s">
        <v>2010</v>
      </c>
      <c r="BA179" s="73" t="s">
        <v>3064</v>
      </c>
      <c r="BB179" s="69">
        <v>45693.0</v>
      </c>
      <c r="BC179" s="52" t="s">
        <v>257</v>
      </c>
      <c r="BD179" s="52">
        <v>5.298137E7</v>
      </c>
      <c r="BE179" s="52" t="s">
        <v>2298</v>
      </c>
      <c r="BF179" s="52" t="s">
        <v>258</v>
      </c>
      <c r="BG179" s="52" t="s">
        <v>2041</v>
      </c>
      <c r="BH179" s="52" t="s">
        <v>718</v>
      </c>
      <c r="BI179" s="52" t="s">
        <v>2805</v>
      </c>
    </row>
    <row r="180">
      <c r="A180" s="52">
        <v>154.0</v>
      </c>
      <c r="B180" s="52" t="s">
        <v>823</v>
      </c>
      <c r="C180" s="52" t="s">
        <v>2005</v>
      </c>
      <c r="D180" s="52">
        <v>1.03117359E9</v>
      </c>
      <c r="E180" s="52" t="s">
        <v>1908</v>
      </c>
      <c r="F180" s="69">
        <v>45691.0</v>
      </c>
      <c r="G180" s="52" t="s">
        <v>825</v>
      </c>
      <c r="H180" s="52" t="s">
        <v>2068</v>
      </c>
      <c r="I180" s="52" t="s">
        <v>2068</v>
      </c>
      <c r="J180" s="52" t="s">
        <v>1478</v>
      </c>
      <c r="K180" s="52" t="s">
        <v>2059</v>
      </c>
      <c r="L180" s="52" t="s">
        <v>2010</v>
      </c>
      <c r="N180" s="52" t="s">
        <v>2010</v>
      </c>
      <c r="O180" s="69">
        <v>45686.0</v>
      </c>
      <c r="P180" s="52">
        <v>2.0251900007543E13</v>
      </c>
      <c r="Q180" s="52" t="s">
        <v>2059</v>
      </c>
      <c r="R180" s="69">
        <v>45686.0</v>
      </c>
      <c r="S180" s="52" t="s">
        <v>3065</v>
      </c>
      <c r="T180" s="52" t="s">
        <v>2013</v>
      </c>
      <c r="U180" s="52" t="s">
        <v>3066</v>
      </c>
      <c r="V180" s="52" t="s">
        <v>581</v>
      </c>
      <c r="W180" s="52" t="s">
        <v>1471</v>
      </c>
      <c r="X180" s="52" t="s">
        <v>583</v>
      </c>
      <c r="Y180" s="52" t="s">
        <v>824</v>
      </c>
      <c r="Z180" s="52" t="s">
        <v>2015</v>
      </c>
      <c r="AA180" s="52" t="s">
        <v>2016</v>
      </c>
      <c r="AB180" s="52" t="s">
        <v>2017</v>
      </c>
      <c r="AC180" s="52" t="s">
        <v>2033</v>
      </c>
      <c r="AD180" s="52" t="s">
        <v>587</v>
      </c>
      <c r="AE180" s="52" t="s">
        <v>2019</v>
      </c>
      <c r="AF180" s="69">
        <v>35821.0</v>
      </c>
      <c r="AG180" s="52">
        <v>27.0</v>
      </c>
      <c r="AH180" s="52" t="s">
        <v>1778</v>
      </c>
      <c r="AI180" s="52" t="s">
        <v>3067</v>
      </c>
      <c r="AJ180" s="52" t="s">
        <v>3068</v>
      </c>
      <c r="AK180" s="52" t="s">
        <v>2022</v>
      </c>
      <c r="AL180" s="52" t="s">
        <v>1779</v>
      </c>
      <c r="AM180" s="52" t="s">
        <v>587</v>
      </c>
      <c r="AN180" s="52" t="s">
        <v>1779</v>
      </c>
      <c r="AO180" s="52" t="s">
        <v>1483</v>
      </c>
      <c r="AP180" s="52">
        <v>21125.0</v>
      </c>
      <c r="AQ180" s="52">
        <v>17525.0</v>
      </c>
      <c r="AR180" s="52" t="s">
        <v>374</v>
      </c>
      <c r="AS180" s="69">
        <v>45692.0</v>
      </c>
      <c r="AT180" s="70">
        <v>46022.0</v>
      </c>
      <c r="AU180" s="69">
        <v>45692.0</v>
      </c>
      <c r="AV180" s="70">
        <v>46022.0</v>
      </c>
      <c r="AW180" s="52" t="s">
        <v>1483</v>
      </c>
      <c r="AX180" s="52" t="s">
        <v>587</v>
      </c>
      <c r="AY180" s="52">
        <v>330.0</v>
      </c>
      <c r="AZ180" s="52" t="s">
        <v>2010</v>
      </c>
      <c r="BA180" s="73" t="s">
        <v>3069</v>
      </c>
      <c r="BB180" s="69">
        <v>45692.0</v>
      </c>
      <c r="BC180" s="52" t="s">
        <v>375</v>
      </c>
      <c r="BD180" s="52">
        <v>1.01842287E9</v>
      </c>
      <c r="BE180" s="52" t="s">
        <v>2453</v>
      </c>
      <c r="BF180" s="52" t="s">
        <v>193</v>
      </c>
      <c r="BG180" s="52" t="s">
        <v>2041</v>
      </c>
      <c r="BH180" s="52" t="s">
        <v>722</v>
      </c>
      <c r="BI180" s="52" t="s">
        <v>2805</v>
      </c>
    </row>
    <row r="181">
      <c r="A181" s="52">
        <v>155.0</v>
      </c>
      <c r="B181" s="52" t="s">
        <v>827</v>
      </c>
      <c r="C181" s="52" t="s">
        <v>2005</v>
      </c>
      <c r="D181" s="52">
        <v>1.032379284E9</v>
      </c>
      <c r="E181" s="52" t="s">
        <v>1908</v>
      </c>
      <c r="F181" s="69">
        <v>45691.0</v>
      </c>
      <c r="G181" s="52" t="s">
        <v>829</v>
      </c>
      <c r="H181" s="52" t="s">
        <v>2068</v>
      </c>
      <c r="I181" s="52" t="s">
        <v>2068</v>
      </c>
      <c r="J181" s="52" t="s">
        <v>1478</v>
      </c>
      <c r="K181" s="52" t="s">
        <v>2059</v>
      </c>
      <c r="L181" s="52" t="s">
        <v>2010</v>
      </c>
      <c r="N181" s="52" t="s">
        <v>2010</v>
      </c>
      <c r="O181" s="69">
        <v>45686.0</v>
      </c>
      <c r="P181" s="52">
        <v>2.0251900007563E13</v>
      </c>
      <c r="Q181" s="52" t="s">
        <v>2059</v>
      </c>
      <c r="R181" s="69">
        <v>45686.0</v>
      </c>
      <c r="S181" s="52" t="s">
        <v>3070</v>
      </c>
      <c r="T181" s="52" t="s">
        <v>2013</v>
      </c>
      <c r="U181" s="52" t="s">
        <v>3071</v>
      </c>
      <c r="V181" s="52" t="s">
        <v>581</v>
      </c>
      <c r="W181" s="52" t="s">
        <v>1471</v>
      </c>
      <c r="X181" s="52" t="s">
        <v>583</v>
      </c>
      <c r="Y181" s="52" t="s">
        <v>828</v>
      </c>
      <c r="Z181" s="52" t="s">
        <v>2081</v>
      </c>
      <c r="AA181" s="52" t="s">
        <v>3023</v>
      </c>
      <c r="AB181" s="52" t="s">
        <v>2228</v>
      </c>
      <c r="AC181" s="52" t="s">
        <v>2063</v>
      </c>
      <c r="AD181" s="52" t="s">
        <v>587</v>
      </c>
      <c r="AE181" s="52" t="s">
        <v>2019</v>
      </c>
      <c r="AF181" s="69">
        <v>31799.0</v>
      </c>
      <c r="AG181" s="52">
        <v>38.0</v>
      </c>
      <c r="AH181" s="52" t="s">
        <v>1584</v>
      </c>
      <c r="AI181" s="52" t="s">
        <v>3072</v>
      </c>
      <c r="AJ181" s="52" t="s">
        <v>3073</v>
      </c>
      <c r="AK181" s="52" t="s">
        <v>2022</v>
      </c>
      <c r="AL181" s="52" t="s">
        <v>1780</v>
      </c>
      <c r="AM181" s="52" t="s">
        <v>587</v>
      </c>
      <c r="AN181" s="52" t="s">
        <v>1780</v>
      </c>
      <c r="AO181" s="52" t="s">
        <v>1483</v>
      </c>
      <c r="AP181" s="52">
        <v>19325.0</v>
      </c>
      <c r="AQ181" s="52">
        <v>18025.0</v>
      </c>
      <c r="AR181" s="52" t="s">
        <v>830</v>
      </c>
      <c r="AS181" s="69">
        <v>45703.0</v>
      </c>
      <c r="AT181" s="70">
        <v>46022.0</v>
      </c>
      <c r="AU181" s="69">
        <v>45705.0</v>
      </c>
      <c r="AV181" s="70">
        <v>46022.0</v>
      </c>
      <c r="AW181" s="52" t="s">
        <v>1483</v>
      </c>
      <c r="AX181" s="52" t="s">
        <v>587</v>
      </c>
      <c r="AY181" s="52">
        <v>317.0</v>
      </c>
      <c r="AZ181" s="52" t="s">
        <v>2010</v>
      </c>
      <c r="BA181" s="73" t="s">
        <v>3074</v>
      </c>
      <c r="BB181" s="69">
        <v>45702.0</v>
      </c>
      <c r="BC181" s="52" t="s">
        <v>433</v>
      </c>
      <c r="BD181" s="52">
        <v>1.02071366E9</v>
      </c>
      <c r="BE181" s="52" t="s">
        <v>2528</v>
      </c>
      <c r="BF181" s="52" t="s">
        <v>223</v>
      </c>
      <c r="BG181" s="52" t="s">
        <v>2041</v>
      </c>
      <c r="BH181" s="52" t="s">
        <v>726</v>
      </c>
      <c r="BI181" s="52" t="s">
        <v>2805</v>
      </c>
    </row>
    <row r="182">
      <c r="A182" s="52">
        <v>156.0</v>
      </c>
      <c r="B182" s="52" t="s">
        <v>832</v>
      </c>
      <c r="C182" s="52" t="s">
        <v>2005</v>
      </c>
      <c r="D182" s="52">
        <v>1.235539689E9</v>
      </c>
      <c r="E182" s="52" t="s">
        <v>1908</v>
      </c>
      <c r="F182" s="69">
        <v>45691.0</v>
      </c>
      <c r="G182" s="52" t="s">
        <v>834</v>
      </c>
      <c r="H182" s="52" t="s">
        <v>2068</v>
      </c>
      <c r="I182" s="52" t="s">
        <v>2068</v>
      </c>
      <c r="J182" s="52" t="s">
        <v>1478</v>
      </c>
      <c r="K182" s="52" t="s">
        <v>2059</v>
      </c>
      <c r="L182" s="52" t="s">
        <v>2010</v>
      </c>
      <c r="N182" s="52" t="s">
        <v>2010</v>
      </c>
      <c r="O182" s="69">
        <v>45686.0</v>
      </c>
      <c r="P182" s="52">
        <v>2.0251900007553E13</v>
      </c>
      <c r="Q182" s="52" t="s">
        <v>2059</v>
      </c>
      <c r="R182" s="69">
        <v>45686.0</v>
      </c>
      <c r="S182" s="52" t="s">
        <v>3075</v>
      </c>
      <c r="T182" s="52" t="s">
        <v>2013</v>
      </c>
      <c r="U182" s="52" t="s">
        <v>3076</v>
      </c>
      <c r="V182" s="52" t="s">
        <v>581</v>
      </c>
      <c r="W182" s="52" t="s">
        <v>1471</v>
      </c>
      <c r="X182" s="52" t="s">
        <v>781</v>
      </c>
      <c r="Y182" s="52" t="s">
        <v>833</v>
      </c>
      <c r="Z182" s="52" t="s">
        <v>2081</v>
      </c>
      <c r="AA182" s="52" t="s">
        <v>2016</v>
      </c>
      <c r="AB182" s="52" t="s">
        <v>2017</v>
      </c>
      <c r="AC182" s="52" t="s">
        <v>2824</v>
      </c>
      <c r="AD182" s="52" t="s">
        <v>587</v>
      </c>
      <c r="AE182" s="52" t="s">
        <v>3077</v>
      </c>
      <c r="AF182" s="69">
        <v>36414.0</v>
      </c>
      <c r="AG182" s="52">
        <v>26.0</v>
      </c>
      <c r="AH182" s="52" t="s">
        <v>1781</v>
      </c>
      <c r="AI182" s="52" t="s">
        <v>3078</v>
      </c>
      <c r="AJ182" s="52" t="s">
        <v>3079</v>
      </c>
      <c r="AK182" s="52" t="s">
        <v>2022</v>
      </c>
      <c r="AL182" s="52" t="s">
        <v>1782</v>
      </c>
      <c r="AM182" s="52" t="s">
        <v>1783</v>
      </c>
      <c r="AN182" s="52" t="s">
        <v>1784</v>
      </c>
      <c r="AO182" s="52" t="s">
        <v>1483</v>
      </c>
      <c r="AP182" s="52">
        <v>20925.0</v>
      </c>
      <c r="AQ182" s="52">
        <v>17425.0</v>
      </c>
      <c r="AR182" s="52" t="s">
        <v>374</v>
      </c>
      <c r="AS182" s="69">
        <v>45692.0</v>
      </c>
      <c r="AT182" s="70">
        <v>46022.0</v>
      </c>
      <c r="AU182" s="69">
        <v>45692.0</v>
      </c>
      <c r="AV182" s="70">
        <v>46022.0</v>
      </c>
      <c r="AW182" s="52" t="s">
        <v>1483</v>
      </c>
      <c r="AX182" s="52" t="s">
        <v>587</v>
      </c>
      <c r="AY182" s="52">
        <v>330.0</v>
      </c>
      <c r="AZ182" s="52" t="s">
        <v>2010</v>
      </c>
      <c r="BA182" s="73" t="s">
        <v>3080</v>
      </c>
      <c r="BB182" s="69">
        <v>45692.0</v>
      </c>
      <c r="BC182" s="52" t="s">
        <v>375</v>
      </c>
      <c r="BD182" s="52">
        <v>1.01842287E9</v>
      </c>
      <c r="BE182" s="52" t="s">
        <v>2453</v>
      </c>
      <c r="BF182" s="52" t="s">
        <v>193</v>
      </c>
      <c r="BG182" s="52" t="s">
        <v>2041</v>
      </c>
      <c r="BH182" s="52" t="s">
        <v>731</v>
      </c>
      <c r="BI182" s="52" t="s">
        <v>2805</v>
      </c>
    </row>
    <row r="183">
      <c r="A183" s="52">
        <v>157.0</v>
      </c>
      <c r="B183" s="52" t="s">
        <v>836</v>
      </c>
      <c r="C183" s="52" t="s">
        <v>2005</v>
      </c>
      <c r="D183" s="52">
        <v>1.121891311E9</v>
      </c>
      <c r="E183" s="52" t="s">
        <v>1908</v>
      </c>
      <c r="F183" s="69">
        <v>45691.0</v>
      </c>
      <c r="G183" s="52" t="s">
        <v>838</v>
      </c>
      <c r="H183" s="52" t="s">
        <v>2008</v>
      </c>
      <c r="I183" s="52" t="s">
        <v>2008</v>
      </c>
      <c r="J183" s="52" t="s">
        <v>1470</v>
      </c>
      <c r="K183" s="52" t="s">
        <v>2098</v>
      </c>
      <c r="L183" s="52" t="s">
        <v>2010</v>
      </c>
      <c r="N183" s="52" t="s">
        <v>2010</v>
      </c>
      <c r="O183" s="69">
        <v>45686.0</v>
      </c>
      <c r="P183" s="52">
        <v>2.0251610007573E13</v>
      </c>
      <c r="Q183" s="52" t="s">
        <v>2098</v>
      </c>
      <c r="R183" s="69">
        <v>45687.0</v>
      </c>
      <c r="S183" s="52" t="s">
        <v>3081</v>
      </c>
      <c r="T183" s="52" t="s">
        <v>2013</v>
      </c>
      <c r="U183" s="52" t="s">
        <v>3082</v>
      </c>
      <c r="V183" s="52" t="s">
        <v>581</v>
      </c>
      <c r="W183" s="52" t="s">
        <v>1471</v>
      </c>
      <c r="X183" s="52" t="s">
        <v>583</v>
      </c>
      <c r="Y183" s="52" t="s">
        <v>837</v>
      </c>
      <c r="Z183" s="52" t="s">
        <v>2015</v>
      </c>
      <c r="AA183" s="52" t="s">
        <v>2016</v>
      </c>
      <c r="AB183" s="52" t="s">
        <v>2032</v>
      </c>
      <c r="AC183" s="52" t="s">
        <v>2033</v>
      </c>
      <c r="AD183" s="52" t="s">
        <v>587</v>
      </c>
      <c r="AE183" s="52" t="s">
        <v>2286</v>
      </c>
      <c r="AF183" s="69">
        <v>33623.0</v>
      </c>
      <c r="AG183" s="52">
        <v>33.0</v>
      </c>
      <c r="AH183" s="52" t="s">
        <v>1479</v>
      </c>
      <c r="AI183" s="52" t="s">
        <v>3083</v>
      </c>
      <c r="AJ183" s="52" t="s">
        <v>3084</v>
      </c>
      <c r="AK183" s="52" t="s">
        <v>2022</v>
      </c>
      <c r="AL183" s="52" t="s">
        <v>1786</v>
      </c>
      <c r="AM183" s="52" t="s">
        <v>587</v>
      </c>
      <c r="AN183" s="52" t="s">
        <v>1786</v>
      </c>
      <c r="AO183" s="52" t="s">
        <v>1483</v>
      </c>
      <c r="AP183" s="52">
        <v>19425.0</v>
      </c>
      <c r="AQ183" s="52">
        <v>18425.0</v>
      </c>
      <c r="AR183" s="52" t="s">
        <v>38</v>
      </c>
      <c r="AS183" s="69">
        <v>45692.0</v>
      </c>
      <c r="AT183" s="70">
        <v>46022.0</v>
      </c>
      <c r="AU183" s="69">
        <v>45692.0</v>
      </c>
      <c r="AV183" s="70">
        <v>46022.0</v>
      </c>
      <c r="AW183" s="52" t="s">
        <v>1483</v>
      </c>
      <c r="AX183" s="52" t="s">
        <v>587</v>
      </c>
      <c r="AY183" s="52">
        <v>330.0</v>
      </c>
      <c r="AZ183" s="52" t="s">
        <v>2010</v>
      </c>
      <c r="BA183" s="73" t="s">
        <v>3085</v>
      </c>
      <c r="BB183" s="69">
        <v>45692.0</v>
      </c>
      <c r="BC183" s="52" t="s">
        <v>328</v>
      </c>
      <c r="BD183" s="52">
        <v>1.016024615E9</v>
      </c>
      <c r="BE183" s="52" t="s">
        <v>2212</v>
      </c>
      <c r="BF183" s="52" t="s">
        <v>258</v>
      </c>
      <c r="BG183" s="52" t="s">
        <v>2041</v>
      </c>
      <c r="BH183" s="52" t="s">
        <v>735</v>
      </c>
      <c r="BI183" s="52" t="s">
        <v>2805</v>
      </c>
    </row>
    <row r="184">
      <c r="A184" s="52">
        <v>158.0</v>
      </c>
      <c r="B184" s="52" t="s">
        <v>840</v>
      </c>
      <c r="C184" s="52" t="s">
        <v>2005</v>
      </c>
      <c r="D184" s="52">
        <v>1.193095704E9</v>
      </c>
      <c r="E184" s="52" t="s">
        <v>1908</v>
      </c>
      <c r="F184" s="69">
        <v>45691.0</v>
      </c>
      <c r="G184" s="52" t="s">
        <v>842</v>
      </c>
      <c r="H184" s="52" t="s">
        <v>2008</v>
      </c>
      <c r="I184" s="52" t="s">
        <v>2008</v>
      </c>
      <c r="J184" s="52" t="s">
        <v>1470</v>
      </c>
      <c r="K184" s="52" t="s">
        <v>2098</v>
      </c>
      <c r="L184" s="52" t="s">
        <v>2010</v>
      </c>
      <c r="N184" s="52" t="s">
        <v>2010</v>
      </c>
      <c r="O184" s="69">
        <v>45686.0</v>
      </c>
      <c r="P184" s="52">
        <v>2.0251610007583E13</v>
      </c>
      <c r="Q184" s="52" t="s">
        <v>2098</v>
      </c>
      <c r="R184" s="69">
        <v>45687.0</v>
      </c>
      <c r="S184" s="52" t="s">
        <v>3086</v>
      </c>
      <c r="T184" s="52" t="s">
        <v>2013</v>
      </c>
      <c r="U184" s="52" t="s">
        <v>3087</v>
      </c>
      <c r="V184" s="52" t="s">
        <v>581</v>
      </c>
      <c r="W184" s="52" t="s">
        <v>1471</v>
      </c>
      <c r="X184" s="52" t="s">
        <v>583</v>
      </c>
      <c r="Y184" s="52" t="s">
        <v>841</v>
      </c>
      <c r="Z184" s="52" t="s">
        <v>2015</v>
      </c>
      <c r="AA184" s="52" t="s">
        <v>2016</v>
      </c>
      <c r="AB184" s="52" t="s">
        <v>2032</v>
      </c>
      <c r="AC184" s="52" t="s">
        <v>2697</v>
      </c>
      <c r="AD184" s="52" t="s">
        <v>587</v>
      </c>
      <c r="AE184" s="52" t="s">
        <v>2841</v>
      </c>
      <c r="AF184" s="69">
        <v>36792.0</v>
      </c>
      <c r="AG184" s="52">
        <v>25.0</v>
      </c>
      <c r="AH184" s="52" t="s">
        <v>1744</v>
      </c>
      <c r="AI184" s="52" t="s">
        <v>3088</v>
      </c>
      <c r="AJ184" s="52" t="s">
        <v>3089</v>
      </c>
      <c r="AK184" s="52" t="s">
        <v>2022</v>
      </c>
      <c r="AL184" s="52" t="s">
        <v>1537</v>
      </c>
      <c r="AM184" s="52" t="s">
        <v>587</v>
      </c>
      <c r="AN184" s="52" t="s">
        <v>1537</v>
      </c>
      <c r="AO184" s="52" t="s">
        <v>1483</v>
      </c>
      <c r="AP184" s="52">
        <v>21725.0</v>
      </c>
      <c r="AQ184" s="52">
        <v>17125.0</v>
      </c>
      <c r="AR184" s="52" t="s">
        <v>91</v>
      </c>
      <c r="AS184" s="69">
        <v>45692.0</v>
      </c>
      <c r="AT184" s="70">
        <v>46022.0</v>
      </c>
      <c r="AU184" s="69">
        <v>45692.0</v>
      </c>
      <c r="AV184" s="70">
        <v>46022.0</v>
      </c>
      <c r="AW184" s="52" t="s">
        <v>1483</v>
      </c>
      <c r="AX184" s="52" t="s">
        <v>587</v>
      </c>
      <c r="AY184" s="52">
        <v>330.0</v>
      </c>
      <c r="AZ184" s="52" t="s">
        <v>2010</v>
      </c>
      <c r="BA184" s="73" t="s">
        <v>3090</v>
      </c>
      <c r="BB184" s="69">
        <v>45692.0</v>
      </c>
      <c r="BC184" s="52" t="s">
        <v>92</v>
      </c>
      <c r="BD184" s="52">
        <v>1.013664334E9</v>
      </c>
      <c r="BE184" s="52" t="s">
        <v>2104</v>
      </c>
      <c r="BF184" s="52" t="s">
        <v>165</v>
      </c>
      <c r="BG184" s="52" t="s">
        <v>2041</v>
      </c>
      <c r="BH184" s="52" t="s">
        <v>740</v>
      </c>
      <c r="BI184" s="52" t="s">
        <v>2805</v>
      </c>
    </row>
    <row r="185">
      <c r="A185" s="52">
        <v>159.0</v>
      </c>
      <c r="B185" s="52" t="s">
        <v>844</v>
      </c>
      <c r="C185" s="52" t="s">
        <v>2005</v>
      </c>
      <c r="D185" s="52">
        <v>1.003586805E9</v>
      </c>
      <c r="E185" s="52" t="s">
        <v>1908</v>
      </c>
      <c r="F185" s="69">
        <v>45691.0</v>
      </c>
      <c r="G185" s="52" t="s">
        <v>846</v>
      </c>
      <c r="H185" s="52" t="s">
        <v>1719</v>
      </c>
      <c r="I185" s="52" t="s">
        <v>2008</v>
      </c>
      <c r="J185" s="52" t="s">
        <v>1470</v>
      </c>
      <c r="K185" s="52" t="s">
        <v>2098</v>
      </c>
      <c r="L185" s="52" t="s">
        <v>2010</v>
      </c>
      <c r="N185" s="52" t="s">
        <v>2010</v>
      </c>
      <c r="O185" s="69">
        <v>45686.0</v>
      </c>
      <c r="P185" s="52">
        <v>2.0251120007593E13</v>
      </c>
      <c r="Q185" s="52" t="s">
        <v>2098</v>
      </c>
      <c r="R185" s="69">
        <v>45687.0</v>
      </c>
      <c r="S185" s="52" t="s">
        <v>3091</v>
      </c>
      <c r="T185" s="52" t="s">
        <v>2013</v>
      </c>
      <c r="U185" s="52" t="s">
        <v>3092</v>
      </c>
      <c r="V185" s="52" t="s">
        <v>581</v>
      </c>
      <c r="W185" s="52" t="s">
        <v>1471</v>
      </c>
      <c r="X185" s="52" t="s">
        <v>583</v>
      </c>
      <c r="Y185" s="52" t="s">
        <v>845</v>
      </c>
      <c r="Z185" s="52" t="s">
        <v>2015</v>
      </c>
      <c r="AA185" s="52" t="s">
        <v>2016</v>
      </c>
      <c r="AB185" s="52" t="s">
        <v>2032</v>
      </c>
      <c r="AC185" s="52" t="s">
        <v>3093</v>
      </c>
      <c r="AD185" s="52" t="s">
        <v>587</v>
      </c>
      <c r="AE185" s="52" t="s">
        <v>3094</v>
      </c>
      <c r="AF185" s="69">
        <v>37463.0</v>
      </c>
      <c r="AG185" s="52">
        <v>23.0</v>
      </c>
      <c r="AH185" s="52" t="s">
        <v>1504</v>
      </c>
      <c r="AI185" s="52" t="s">
        <v>3095</v>
      </c>
      <c r="AJ185" s="52" t="s">
        <v>3096</v>
      </c>
      <c r="AK185" s="52" t="s">
        <v>2022</v>
      </c>
      <c r="AL185" s="52" t="s">
        <v>1787</v>
      </c>
      <c r="AM185" s="52" t="s">
        <v>587</v>
      </c>
      <c r="AN185" s="52" t="s">
        <v>1787</v>
      </c>
      <c r="AO185" s="52" t="s">
        <v>1483</v>
      </c>
      <c r="AP185" s="52">
        <v>20425.0</v>
      </c>
      <c r="AQ185" s="52">
        <v>17025.0</v>
      </c>
      <c r="AR185" s="52" t="s">
        <v>91</v>
      </c>
      <c r="AS185" s="69">
        <v>45692.0</v>
      </c>
      <c r="AT185" s="70">
        <v>46009.0</v>
      </c>
      <c r="AU185" s="69">
        <v>45692.0</v>
      </c>
      <c r="AV185" s="70">
        <v>46009.0</v>
      </c>
      <c r="AW185" s="52" t="s">
        <v>1483</v>
      </c>
      <c r="AX185" s="52" t="s">
        <v>587</v>
      </c>
      <c r="AY185" s="52">
        <v>317.0</v>
      </c>
      <c r="AZ185" s="52" t="s">
        <v>2010</v>
      </c>
      <c r="BA185" s="73" t="s">
        <v>3097</v>
      </c>
      <c r="BB185" s="69">
        <v>45692.0</v>
      </c>
      <c r="BC185" s="52" t="s">
        <v>847</v>
      </c>
      <c r="BD185" s="52">
        <v>8.0730368E7</v>
      </c>
      <c r="BE185" s="52" t="s">
        <v>3098</v>
      </c>
      <c r="BF185" s="52" t="s">
        <v>848</v>
      </c>
      <c r="BG185" s="52" t="s">
        <v>2041</v>
      </c>
      <c r="BH185" s="52" t="s">
        <v>745</v>
      </c>
      <c r="BI185" s="52" t="s">
        <v>2805</v>
      </c>
    </row>
    <row r="186">
      <c r="A186" s="52">
        <v>160.0</v>
      </c>
      <c r="B186" s="52" t="s">
        <v>850</v>
      </c>
      <c r="C186" s="52" t="s">
        <v>2005</v>
      </c>
      <c r="D186" s="52">
        <v>1.110503697E9</v>
      </c>
      <c r="E186" s="52" t="s">
        <v>1908</v>
      </c>
      <c r="F186" s="69">
        <v>45692.0</v>
      </c>
      <c r="G186" s="52" t="s">
        <v>852</v>
      </c>
      <c r="H186" s="52" t="s">
        <v>1788</v>
      </c>
      <c r="I186" s="52" t="s">
        <v>2008</v>
      </c>
      <c r="J186" s="52" t="s">
        <v>1470</v>
      </c>
      <c r="K186" s="52" t="s">
        <v>2098</v>
      </c>
      <c r="L186" s="52" t="s">
        <v>2010</v>
      </c>
      <c r="N186" s="52" t="s">
        <v>2010</v>
      </c>
      <c r="O186" s="69">
        <v>45686.0</v>
      </c>
      <c r="P186" s="52">
        <v>2.0251110007603E13</v>
      </c>
      <c r="Q186" s="52" t="s">
        <v>2098</v>
      </c>
      <c r="R186" s="52" t="s">
        <v>3099</v>
      </c>
      <c r="S186" s="52" t="s">
        <v>3100</v>
      </c>
      <c r="T186" s="52" t="s">
        <v>2013</v>
      </c>
      <c r="U186" s="52" t="s">
        <v>3101</v>
      </c>
      <c r="V186" s="52" t="s">
        <v>581</v>
      </c>
      <c r="W186" s="52" t="s">
        <v>1471</v>
      </c>
      <c r="X186" s="52" t="s">
        <v>781</v>
      </c>
      <c r="Y186" s="52" t="s">
        <v>851</v>
      </c>
      <c r="Z186" s="52" t="s">
        <v>2015</v>
      </c>
      <c r="AA186" s="52" t="s">
        <v>2016</v>
      </c>
      <c r="AB186" s="52" t="s">
        <v>2017</v>
      </c>
      <c r="AC186" s="52" t="s">
        <v>2033</v>
      </c>
      <c r="AD186" s="52" t="s">
        <v>587</v>
      </c>
      <c r="AE186" s="52" t="s">
        <v>3050</v>
      </c>
      <c r="AF186" s="70">
        <v>33157.0</v>
      </c>
      <c r="AG186" s="52">
        <v>35.0</v>
      </c>
      <c r="AH186" s="52" t="s">
        <v>1789</v>
      </c>
      <c r="AI186" s="52" t="s">
        <v>3102</v>
      </c>
      <c r="AJ186" s="52" t="s">
        <v>3103</v>
      </c>
      <c r="AK186" s="52" t="s">
        <v>2022</v>
      </c>
      <c r="AL186" s="52" t="s">
        <v>1790</v>
      </c>
      <c r="AM186" s="52" t="s">
        <v>587</v>
      </c>
      <c r="AN186" s="52" t="s">
        <v>1790</v>
      </c>
      <c r="AO186" s="52" t="s">
        <v>1483</v>
      </c>
      <c r="AP186" s="52">
        <v>21425.0</v>
      </c>
      <c r="AQ186" s="52">
        <v>19125.0</v>
      </c>
      <c r="AR186" s="52" t="s">
        <v>91</v>
      </c>
      <c r="AS186" s="69">
        <v>45693.0</v>
      </c>
      <c r="AT186" s="70">
        <v>45995.0</v>
      </c>
      <c r="AU186" s="69">
        <v>45693.0</v>
      </c>
      <c r="AV186" s="70">
        <v>45995.0</v>
      </c>
      <c r="AW186" s="52" t="s">
        <v>1483</v>
      </c>
      <c r="AX186" s="52" t="s">
        <v>587</v>
      </c>
      <c r="AY186" s="52">
        <v>302.0</v>
      </c>
      <c r="AZ186" s="52" t="s">
        <v>2010</v>
      </c>
      <c r="BA186" s="73" t="s">
        <v>3104</v>
      </c>
      <c r="BB186" s="69">
        <v>45693.0</v>
      </c>
      <c r="BC186" s="52" t="s">
        <v>268</v>
      </c>
      <c r="BD186" s="52">
        <v>1.016021751E9</v>
      </c>
      <c r="BE186" s="52" t="s">
        <v>2597</v>
      </c>
      <c r="BF186" s="52" t="s">
        <v>848</v>
      </c>
      <c r="BG186" s="52" t="s">
        <v>2041</v>
      </c>
      <c r="BH186" s="52" t="s">
        <v>750</v>
      </c>
      <c r="BI186" s="52" t="s">
        <v>2805</v>
      </c>
    </row>
    <row r="187">
      <c r="A187" s="52">
        <v>161.0</v>
      </c>
      <c r="B187" s="52" t="s">
        <v>855</v>
      </c>
      <c r="C187" s="52" t="s">
        <v>2307</v>
      </c>
      <c r="D187" s="52" t="s">
        <v>3105</v>
      </c>
      <c r="E187" s="52" t="s">
        <v>1908</v>
      </c>
      <c r="F187" s="69">
        <v>45691.0</v>
      </c>
      <c r="G187" s="52" t="s">
        <v>857</v>
      </c>
      <c r="H187" s="52" t="s">
        <v>1788</v>
      </c>
      <c r="I187" s="52" t="s">
        <v>2028</v>
      </c>
      <c r="J187" s="52" t="s">
        <v>1470</v>
      </c>
      <c r="K187" s="52" t="s">
        <v>2029</v>
      </c>
      <c r="L187" s="52" t="s">
        <v>2010</v>
      </c>
      <c r="N187" s="52" t="s">
        <v>1908</v>
      </c>
      <c r="O187" s="69">
        <v>45686.0</v>
      </c>
      <c r="P187" s="52">
        <v>2.0251110007613E13</v>
      </c>
      <c r="Q187" s="52" t="s">
        <v>2029</v>
      </c>
      <c r="R187" s="69">
        <v>45687.0</v>
      </c>
      <c r="S187" s="52" t="s">
        <v>3106</v>
      </c>
      <c r="T187" s="52" t="s">
        <v>2013</v>
      </c>
      <c r="U187" s="52" t="s">
        <v>3107</v>
      </c>
      <c r="V187" s="52" t="s">
        <v>581</v>
      </c>
      <c r="W187" s="52" t="s">
        <v>1555</v>
      </c>
      <c r="X187" s="52" t="s">
        <v>781</v>
      </c>
      <c r="Y187" s="52" t="s">
        <v>856</v>
      </c>
      <c r="AA187" s="52" t="s">
        <v>39</v>
      </c>
      <c r="AB187" s="52" t="s">
        <v>39</v>
      </c>
      <c r="AC187" s="52" t="s">
        <v>39</v>
      </c>
      <c r="AD187" s="69">
        <v>45694.0</v>
      </c>
      <c r="AE187" s="52" t="s">
        <v>39</v>
      </c>
      <c r="AF187" s="52" t="s">
        <v>39</v>
      </c>
      <c r="AG187" s="52" t="s">
        <v>2310</v>
      </c>
      <c r="AH187" s="52" t="s">
        <v>39</v>
      </c>
      <c r="AJ187" s="52" t="s">
        <v>3108</v>
      </c>
      <c r="AK187" s="52" t="s">
        <v>2022</v>
      </c>
      <c r="AL187" s="52">
        <v>3090000.0</v>
      </c>
      <c r="AM187" s="52" t="s">
        <v>587</v>
      </c>
      <c r="AN187" s="52">
        <v>3090000.0</v>
      </c>
      <c r="AO187" s="52" t="s">
        <v>1483</v>
      </c>
      <c r="AP187" s="52">
        <v>21525.0</v>
      </c>
      <c r="AQ187" s="52">
        <v>18825.0</v>
      </c>
      <c r="AR187" s="52" t="s">
        <v>858</v>
      </c>
      <c r="AS187" s="52" t="s">
        <v>1879</v>
      </c>
      <c r="AT187" s="52" t="s">
        <v>1879</v>
      </c>
      <c r="AU187" s="69">
        <v>45695.0</v>
      </c>
      <c r="AV187" s="70">
        <v>46022.0</v>
      </c>
      <c r="AW187" s="52" t="s">
        <v>1483</v>
      </c>
      <c r="AX187" s="52" t="s">
        <v>587</v>
      </c>
      <c r="AY187" s="52">
        <v>327.0</v>
      </c>
      <c r="AZ187" s="52" t="s">
        <v>2010</v>
      </c>
      <c r="BB187" s="69">
        <v>45695.0</v>
      </c>
      <c r="BC187" s="52" t="s">
        <v>86</v>
      </c>
      <c r="BD187" s="52">
        <v>5.2985556E7</v>
      </c>
      <c r="BE187" s="52" t="s">
        <v>2176</v>
      </c>
      <c r="BF187" s="52" t="s">
        <v>848</v>
      </c>
      <c r="BG187" s="52" t="s">
        <v>2041</v>
      </c>
      <c r="BH187" s="52" t="s">
        <v>754</v>
      </c>
      <c r="BI187" s="52" t="s">
        <v>2805</v>
      </c>
    </row>
    <row r="188">
      <c r="A188" s="52">
        <v>162.0</v>
      </c>
      <c r="B188" s="52" t="s">
        <v>860</v>
      </c>
      <c r="C188" s="52" t="s">
        <v>2005</v>
      </c>
      <c r="D188" s="52">
        <v>1.026592381E9</v>
      </c>
      <c r="E188" s="52" t="s">
        <v>1908</v>
      </c>
      <c r="F188" s="69">
        <v>45691.0</v>
      </c>
      <c r="G188" s="52" t="s">
        <v>862</v>
      </c>
      <c r="H188" s="52" t="s">
        <v>2008</v>
      </c>
      <c r="I188" s="52" t="s">
        <v>2008</v>
      </c>
      <c r="J188" s="52" t="s">
        <v>1470</v>
      </c>
      <c r="K188" s="52" t="s">
        <v>2098</v>
      </c>
      <c r="L188" s="52" t="s">
        <v>2010</v>
      </c>
      <c r="N188" s="52" t="s">
        <v>2010</v>
      </c>
      <c r="O188" s="69">
        <v>45686.0</v>
      </c>
      <c r="P188" s="52">
        <v>2.0251610007683E13</v>
      </c>
      <c r="Q188" s="52" t="s">
        <v>2098</v>
      </c>
      <c r="R188" s="69">
        <v>45687.0</v>
      </c>
      <c r="S188" s="52" t="s">
        <v>3109</v>
      </c>
      <c r="T188" s="52" t="s">
        <v>2013</v>
      </c>
      <c r="U188" s="52" t="s">
        <v>3110</v>
      </c>
      <c r="V188" s="52" t="s">
        <v>581</v>
      </c>
      <c r="W188" s="52" t="s">
        <v>1471</v>
      </c>
      <c r="X188" s="52" t="s">
        <v>583</v>
      </c>
      <c r="Y188" s="52" t="s">
        <v>861</v>
      </c>
      <c r="Z188" s="52" t="s">
        <v>2081</v>
      </c>
      <c r="AA188" s="52" t="s">
        <v>2016</v>
      </c>
      <c r="AB188" s="52" t="s">
        <v>2032</v>
      </c>
      <c r="AC188" s="52" t="s">
        <v>2824</v>
      </c>
      <c r="AD188" s="52" t="s">
        <v>587</v>
      </c>
      <c r="AE188" s="52" t="s">
        <v>3111</v>
      </c>
      <c r="AF188" s="70">
        <v>35725.0</v>
      </c>
      <c r="AG188" s="52">
        <v>28.0</v>
      </c>
      <c r="AH188" s="52" t="s">
        <v>1570</v>
      </c>
      <c r="AI188" s="52" t="s">
        <v>3112</v>
      </c>
      <c r="AJ188" s="52" t="s">
        <v>3113</v>
      </c>
      <c r="AK188" s="52" t="s">
        <v>2022</v>
      </c>
      <c r="AL188" s="52" t="s">
        <v>1537</v>
      </c>
      <c r="AM188" s="52" t="s">
        <v>587</v>
      </c>
      <c r="AN188" s="52" t="s">
        <v>1537</v>
      </c>
      <c r="AO188" s="52" t="s">
        <v>1483</v>
      </c>
      <c r="AP188" s="52">
        <v>19725.0</v>
      </c>
      <c r="AQ188" s="52">
        <v>17625.0</v>
      </c>
      <c r="AR188" s="52" t="s">
        <v>91</v>
      </c>
      <c r="AS188" s="69">
        <v>45692.0</v>
      </c>
      <c r="AT188" s="70">
        <v>46022.0</v>
      </c>
      <c r="AU188" s="69">
        <v>45692.0</v>
      </c>
      <c r="AV188" s="70">
        <v>46022.0</v>
      </c>
      <c r="AW188" s="52" t="s">
        <v>1483</v>
      </c>
      <c r="AX188" s="52" t="s">
        <v>587</v>
      </c>
      <c r="AY188" s="52">
        <v>330.0</v>
      </c>
      <c r="AZ188" s="52" t="s">
        <v>2010</v>
      </c>
      <c r="BA188" s="73" t="s">
        <v>3114</v>
      </c>
      <c r="BB188" s="69">
        <v>45692.0</v>
      </c>
      <c r="BC188" s="52" t="s">
        <v>92</v>
      </c>
      <c r="BD188" s="52">
        <v>1.013664334E9</v>
      </c>
      <c r="BE188" s="52" t="s">
        <v>2104</v>
      </c>
      <c r="BF188" s="52" t="s">
        <v>165</v>
      </c>
      <c r="BG188" s="52" t="s">
        <v>2041</v>
      </c>
      <c r="BH188" s="52" t="s">
        <v>758</v>
      </c>
      <c r="BI188" s="52" t="s">
        <v>2805</v>
      </c>
    </row>
    <row r="189">
      <c r="A189" s="52">
        <v>163.0</v>
      </c>
      <c r="B189" s="52" t="s">
        <v>863</v>
      </c>
      <c r="C189" s="52" t="s">
        <v>2005</v>
      </c>
      <c r="D189" s="52">
        <v>1.098822094E9</v>
      </c>
      <c r="E189" s="52" t="s">
        <v>1908</v>
      </c>
      <c r="F189" s="69">
        <v>45691.0</v>
      </c>
      <c r="G189" s="52" t="s">
        <v>864</v>
      </c>
      <c r="H189" s="52" t="s">
        <v>2008</v>
      </c>
      <c r="I189" s="52" t="s">
        <v>2008</v>
      </c>
      <c r="J189" s="52" t="s">
        <v>1470</v>
      </c>
      <c r="K189" s="52" t="s">
        <v>2098</v>
      </c>
      <c r="L189" s="52" t="s">
        <v>2010</v>
      </c>
      <c r="N189" s="52" t="s">
        <v>2010</v>
      </c>
      <c r="O189" s="69">
        <v>45686.0</v>
      </c>
      <c r="P189" s="52">
        <v>2.0251610007703E13</v>
      </c>
      <c r="Q189" s="52" t="s">
        <v>2098</v>
      </c>
      <c r="R189" s="69">
        <v>45687.0</v>
      </c>
      <c r="S189" s="52" t="s">
        <v>3115</v>
      </c>
      <c r="T189" s="52" t="s">
        <v>2013</v>
      </c>
      <c r="U189" s="52" t="s">
        <v>3116</v>
      </c>
      <c r="V189" s="52" t="s">
        <v>581</v>
      </c>
      <c r="W189" s="52" t="s">
        <v>1471</v>
      </c>
      <c r="X189" s="52" t="s">
        <v>1030</v>
      </c>
      <c r="Y189" s="52" t="s">
        <v>861</v>
      </c>
      <c r="Z189" s="52" t="s">
        <v>2081</v>
      </c>
      <c r="AA189" s="52" t="s">
        <v>2054</v>
      </c>
      <c r="AB189" s="52" t="s">
        <v>2062</v>
      </c>
      <c r="AC189" s="52" t="s">
        <v>2033</v>
      </c>
      <c r="AD189" s="52" t="s">
        <v>587</v>
      </c>
      <c r="AE189" s="52" t="s">
        <v>3117</v>
      </c>
      <c r="AF189" s="69">
        <v>36347.0</v>
      </c>
      <c r="AG189" s="52">
        <v>26.0</v>
      </c>
      <c r="AH189" s="52" t="s">
        <v>1526</v>
      </c>
      <c r="AI189" s="52" t="s">
        <v>3118</v>
      </c>
      <c r="AJ189" s="52" t="s">
        <v>3119</v>
      </c>
      <c r="AK189" s="52" t="s">
        <v>2022</v>
      </c>
      <c r="AL189" s="52" t="s">
        <v>1537</v>
      </c>
      <c r="AM189" s="52" t="s">
        <v>587</v>
      </c>
      <c r="AN189" s="52" t="s">
        <v>1537</v>
      </c>
      <c r="AO189" s="52" t="s">
        <v>1483</v>
      </c>
      <c r="AP189" s="52">
        <v>19625.0</v>
      </c>
      <c r="AQ189" s="52">
        <v>18225.0</v>
      </c>
      <c r="AR189" s="52" t="s">
        <v>91</v>
      </c>
      <c r="AS189" s="69">
        <v>45693.0</v>
      </c>
      <c r="AT189" s="70">
        <v>46022.0</v>
      </c>
      <c r="AU189" s="69">
        <v>45693.0</v>
      </c>
      <c r="AV189" s="70">
        <v>46022.0</v>
      </c>
      <c r="AW189" s="52" t="s">
        <v>1483</v>
      </c>
      <c r="AX189" s="52" t="s">
        <v>587</v>
      </c>
      <c r="AY189" s="52">
        <v>329.0</v>
      </c>
      <c r="AZ189" s="52" t="s">
        <v>2010</v>
      </c>
      <c r="BA189" s="73" t="s">
        <v>3120</v>
      </c>
      <c r="BB189" s="69">
        <v>45693.0</v>
      </c>
      <c r="BC189" s="52" t="s">
        <v>217</v>
      </c>
      <c r="BD189" s="52">
        <v>7.1338113E7</v>
      </c>
      <c r="BE189" s="52" t="s">
        <v>2248</v>
      </c>
      <c r="BF189" s="52" t="s">
        <v>165</v>
      </c>
      <c r="BG189" s="52" t="s">
        <v>2041</v>
      </c>
      <c r="BH189" s="52" t="s">
        <v>677</v>
      </c>
      <c r="BI189" s="52" t="s">
        <v>2805</v>
      </c>
    </row>
    <row r="190">
      <c r="A190" s="52">
        <v>164.0</v>
      </c>
      <c r="B190" s="52" t="s">
        <v>866</v>
      </c>
      <c r="C190" s="52" t="s">
        <v>2005</v>
      </c>
      <c r="D190" s="52">
        <v>1.078371849E9</v>
      </c>
      <c r="E190" s="52" t="s">
        <v>1908</v>
      </c>
      <c r="F190" s="69">
        <v>45691.0</v>
      </c>
      <c r="G190" s="52" t="s">
        <v>868</v>
      </c>
      <c r="H190" s="52" t="s">
        <v>2042</v>
      </c>
      <c r="I190" s="52" t="s">
        <v>2042</v>
      </c>
      <c r="J190" s="52" t="s">
        <v>1478</v>
      </c>
      <c r="K190" s="52" t="s">
        <v>2612</v>
      </c>
      <c r="L190" s="52" t="s">
        <v>2010</v>
      </c>
      <c r="N190" s="52" t="s">
        <v>2010</v>
      </c>
      <c r="O190" s="69">
        <v>45687.0</v>
      </c>
      <c r="P190" s="52">
        <v>2.0251500007833E13</v>
      </c>
      <c r="Q190" s="52" t="s">
        <v>2612</v>
      </c>
      <c r="R190" s="69">
        <v>45687.0</v>
      </c>
      <c r="S190" s="52" t="s">
        <v>3121</v>
      </c>
      <c r="T190" s="52" t="s">
        <v>2013</v>
      </c>
      <c r="U190" s="52" t="s">
        <v>3122</v>
      </c>
      <c r="V190" s="52" t="s">
        <v>581</v>
      </c>
      <c r="W190" s="52" t="s">
        <v>1471</v>
      </c>
      <c r="X190" s="52" t="s">
        <v>1030</v>
      </c>
      <c r="Y190" s="52" t="s">
        <v>867</v>
      </c>
      <c r="Z190" s="52" t="s">
        <v>2081</v>
      </c>
      <c r="AA190" s="52" t="s">
        <v>2016</v>
      </c>
      <c r="AB190" s="52" t="s">
        <v>2062</v>
      </c>
      <c r="AC190" s="52" t="s">
        <v>2824</v>
      </c>
      <c r="AD190" s="52" t="s">
        <v>587</v>
      </c>
      <c r="AE190" s="52" t="s">
        <v>3123</v>
      </c>
      <c r="AF190" s="70">
        <v>35705.0</v>
      </c>
      <c r="AG190" s="52">
        <v>28.0</v>
      </c>
      <c r="AH190" s="52" t="s">
        <v>1526</v>
      </c>
      <c r="AI190" s="52" t="s">
        <v>3124</v>
      </c>
      <c r="AJ190" s="52" t="s">
        <v>3125</v>
      </c>
      <c r="AK190" s="52" t="s">
        <v>2022</v>
      </c>
      <c r="AL190" s="52" t="s">
        <v>1791</v>
      </c>
      <c r="AM190" s="52" t="s">
        <v>587</v>
      </c>
      <c r="AN190" s="52" t="s">
        <v>1791</v>
      </c>
      <c r="AO190" s="52" t="s">
        <v>1483</v>
      </c>
      <c r="AP190" s="52">
        <v>17725.0</v>
      </c>
      <c r="AQ190" s="52">
        <v>17325.0</v>
      </c>
      <c r="AR190" s="52" t="s">
        <v>53</v>
      </c>
      <c r="AS190" s="69">
        <v>45692.0</v>
      </c>
      <c r="AT190" s="70">
        <v>46022.0</v>
      </c>
      <c r="AU190" s="69">
        <v>45692.0</v>
      </c>
      <c r="AV190" s="70">
        <v>46022.0</v>
      </c>
      <c r="AW190" s="52" t="s">
        <v>1483</v>
      </c>
      <c r="AX190" s="52" t="s">
        <v>587</v>
      </c>
      <c r="AY190" s="52">
        <v>330.0</v>
      </c>
      <c r="AZ190" s="52" t="s">
        <v>2010</v>
      </c>
      <c r="BA190" s="73" t="s">
        <v>3126</v>
      </c>
      <c r="BB190" s="69">
        <v>45692.0</v>
      </c>
      <c r="BC190" s="52" t="s">
        <v>869</v>
      </c>
      <c r="BD190" s="52">
        <v>4.2139806E7</v>
      </c>
      <c r="BE190" s="52" t="s">
        <v>3127</v>
      </c>
      <c r="BF190" s="52" t="s">
        <v>182</v>
      </c>
      <c r="BG190" s="52" t="s">
        <v>2041</v>
      </c>
      <c r="BH190" s="52" t="s">
        <v>766</v>
      </c>
      <c r="BI190" s="52" t="s">
        <v>2805</v>
      </c>
    </row>
    <row r="191">
      <c r="A191" s="52">
        <v>165.0</v>
      </c>
      <c r="B191" s="52" t="s">
        <v>871</v>
      </c>
      <c r="C191" s="52" t="s">
        <v>2005</v>
      </c>
      <c r="D191" s="52">
        <v>1.15245016E9</v>
      </c>
      <c r="E191" s="52" t="s">
        <v>1908</v>
      </c>
      <c r="F191" s="69">
        <v>45691.0</v>
      </c>
      <c r="G191" s="52" t="s">
        <v>873</v>
      </c>
      <c r="H191" s="52" t="s">
        <v>2008</v>
      </c>
      <c r="I191" s="52" t="s">
        <v>2008</v>
      </c>
      <c r="J191" s="52" t="s">
        <v>1470</v>
      </c>
      <c r="K191" s="52" t="s">
        <v>2098</v>
      </c>
      <c r="L191" s="52" t="s">
        <v>2010</v>
      </c>
      <c r="N191" s="52" t="s">
        <v>2010</v>
      </c>
      <c r="O191" s="69">
        <v>45687.0</v>
      </c>
      <c r="P191" s="52">
        <v>2.0251610007873E13</v>
      </c>
      <c r="Q191" s="52" t="s">
        <v>2098</v>
      </c>
      <c r="R191" s="69">
        <v>45687.0</v>
      </c>
      <c r="S191" s="52" t="s">
        <v>3128</v>
      </c>
      <c r="T191" s="52" t="s">
        <v>2013</v>
      </c>
      <c r="U191" s="52" t="s">
        <v>3129</v>
      </c>
      <c r="V191" s="52" t="s">
        <v>581</v>
      </c>
      <c r="W191" s="52" t="s">
        <v>1471</v>
      </c>
      <c r="X191" s="52" t="s">
        <v>1030</v>
      </c>
      <c r="Y191" s="52" t="s">
        <v>872</v>
      </c>
      <c r="Z191" s="52" t="s">
        <v>2015</v>
      </c>
      <c r="AA191" s="52" t="s">
        <v>2016</v>
      </c>
      <c r="AB191" s="52" t="s">
        <v>2017</v>
      </c>
      <c r="AC191" s="52" t="s">
        <v>2824</v>
      </c>
      <c r="AD191" s="52" t="s">
        <v>587</v>
      </c>
      <c r="AE191" s="52" t="s">
        <v>3130</v>
      </c>
      <c r="AF191" s="69">
        <v>34488.0</v>
      </c>
      <c r="AG191" s="52">
        <v>31.0</v>
      </c>
      <c r="AH191" s="52" t="s">
        <v>1792</v>
      </c>
      <c r="AI191" s="52" t="s">
        <v>3131</v>
      </c>
      <c r="AJ191" s="52" t="s">
        <v>3132</v>
      </c>
      <c r="AK191" s="52" t="s">
        <v>2022</v>
      </c>
      <c r="AL191" s="52" t="s">
        <v>1793</v>
      </c>
      <c r="AM191" s="52" t="s">
        <v>587</v>
      </c>
      <c r="AN191" s="52" t="s">
        <v>1793</v>
      </c>
      <c r="AO191" s="52" t="s">
        <v>1483</v>
      </c>
      <c r="AP191" s="52">
        <v>19825.0</v>
      </c>
      <c r="AQ191" s="52">
        <v>17825.0</v>
      </c>
      <c r="AR191" s="52" t="s">
        <v>91</v>
      </c>
      <c r="AS191" s="69">
        <v>45693.0</v>
      </c>
      <c r="AT191" s="70">
        <v>46010.0</v>
      </c>
      <c r="AU191" s="69">
        <v>45693.0</v>
      </c>
      <c r="AV191" s="70">
        <v>46010.0</v>
      </c>
      <c r="AW191" s="52" t="s">
        <v>1483</v>
      </c>
      <c r="AX191" s="52" t="s">
        <v>587</v>
      </c>
      <c r="AY191" s="52">
        <v>317.0</v>
      </c>
      <c r="BA191" s="73" t="s">
        <v>3133</v>
      </c>
      <c r="BB191" s="69">
        <v>45693.0</v>
      </c>
      <c r="BC191" s="52" t="s">
        <v>874</v>
      </c>
      <c r="BD191" s="52">
        <v>9.3385859E7</v>
      </c>
      <c r="BE191" s="52" t="s">
        <v>3134</v>
      </c>
      <c r="BF191" s="52" t="s">
        <v>165</v>
      </c>
      <c r="BG191" s="52" t="s">
        <v>2041</v>
      </c>
      <c r="BH191" s="52" t="s">
        <v>770</v>
      </c>
      <c r="BI191" s="52" t="s">
        <v>2805</v>
      </c>
    </row>
    <row r="192">
      <c r="A192" s="52">
        <v>166.0</v>
      </c>
      <c r="B192" s="52" t="s">
        <v>876</v>
      </c>
      <c r="C192" s="52" t="s">
        <v>2005</v>
      </c>
      <c r="D192" s="52">
        <v>1.053826184E9</v>
      </c>
      <c r="E192" s="52" t="s">
        <v>1908</v>
      </c>
      <c r="F192" s="69">
        <v>45692.0</v>
      </c>
      <c r="G192" s="52" t="s">
        <v>878</v>
      </c>
      <c r="H192" s="52" t="s">
        <v>2008</v>
      </c>
      <c r="I192" s="52" t="s">
        <v>2008</v>
      </c>
      <c r="J192" s="52" t="s">
        <v>1470</v>
      </c>
      <c r="K192" s="52" t="s">
        <v>2098</v>
      </c>
      <c r="L192" s="52" t="s">
        <v>2010</v>
      </c>
      <c r="N192" s="52" t="s">
        <v>2010</v>
      </c>
      <c r="O192" s="69">
        <v>45687.0</v>
      </c>
      <c r="P192" s="52">
        <v>2.0251610007883E13</v>
      </c>
      <c r="Q192" s="52" t="s">
        <v>2098</v>
      </c>
      <c r="R192" s="69">
        <v>45687.0</v>
      </c>
      <c r="S192" s="52" t="s">
        <v>3135</v>
      </c>
      <c r="T192" s="52" t="s">
        <v>2013</v>
      </c>
      <c r="U192" s="52" t="s">
        <v>3136</v>
      </c>
      <c r="V192" s="52" t="s">
        <v>581</v>
      </c>
      <c r="W192" s="52" t="s">
        <v>1471</v>
      </c>
      <c r="X192" s="52" t="s">
        <v>1030</v>
      </c>
      <c r="Y192" s="52" t="s">
        <v>877</v>
      </c>
      <c r="Z192" s="52" t="s">
        <v>2081</v>
      </c>
      <c r="AA192" s="52" t="s">
        <v>2054</v>
      </c>
      <c r="AB192" s="52" t="s">
        <v>2032</v>
      </c>
      <c r="AC192" s="52" t="s">
        <v>2054</v>
      </c>
      <c r="AD192" s="52" t="s">
        <v>587</v>
      </c>
      <c r="AE192" s="52" t="s">
        <v>3137</v>
      </c>
      <c r="AF192" s="69">
        <v>34089.0</v>
      </c>
      <c r="AG192" s="52">
        <v>32.0</v>
      </c>
      <c r="AH192" s="52" t="s">
        <v>1526</v>
      </c>
      <c r="AI192" s="52" t="s">
        <v>3138</v>
      </c>
      <c r="AJ192" s="52" t="s">
        <v>3139</v>
      </c>
      <c r="AK192" s="52" t="s">
        <v>2022</v>
      </c>
      <c r="AL192" s="52" t="s">
        <v>1795</v>
      </c>
      <c r="AM192" s="52" t="s">
        <v>587</v>
      </c>
      <c r="AN192" s="52" t="s">
        <v>1795</v>
      </c>
      <c r="AO192" s="52" t="s">
        <v>1483</v>
      </c>
      <c r="AP192" s="52">
        <v>19525.0</v>
      </c>
      <c r="AQ192" s="52">
        <v>19225.0</v>
      </c>
      <c r="AR192" s="52" t="s">
        <v>91</v>
      </c>
      <c r="AS192" s="69">
        <v>45694.0</v>
      </c>
      <c r="AT192" s="70">
        <v>46022.0</v>
      </c>
      <c r="AU192" s="69">
        <v>45694.0</v>
      </c>
      <c r="AV192" s="70">
        <v>46022.0</v>
      </c>
      <c r="AW192" s="52" t="s">
        <v>1483</v>
      </c>
      <c r="AX192" s="52" t="s">
        <v>587</v>
      </c>
      <c r="AY192" s="52">
        <v>328.0</v>
      </c>
      <c r="BA192" s="73" t="s">
        <v>3140</v>
      </c>
      <c r="BB192" s="69">
        <v>45693.0</v>
      </c>
      <c r="BC192" s="52" t="s">
        <v>561</v>
      </c>
      <c r="BD192" s="52">
        <v>6.8297252E7</v>
      </c>
      <c r="BE192" s="52" t="s">
        <v>2142</v>
      </c>
      <c r="BF192" s="52" t="s">
        <v>165</v>
      </c>
      <c r="BG192" s="52" t="s">
        <v>2041</v>
      </c>
      <c r="BH192" s="52" t="s">
        <v>775</v>
      </c>
      <c r="BI192" s="52" t="s">
        <v>2805</v>
      </c>
    </row>
    <row r="193">
      <c r="A193" s="52">
        <v>167.0</v>
      </c>
      <c r="B193" s="52" t="s">
        <v>880</v>
      </c>
      <c r="C193" s="52" t="s">
        <v>2323</v>
      </c>
      <c r="D193" s="52">
        <v>761786.0</v>
      </c>
      <c r="E193" s="52" t="s">
        <v>1908</v>
      </c>
      <c r="F193" s="69">
        <v>45691.0</v>
      </c>
      <c r="G193" s="52" t="s">
        <v>881</v>
      </c>
      <c r="H193" s="52" t="s">
        <v>2008</v>
      </c>
      <c r="I193" s="52" t="s">
        <v>2008</v>
      </c>
      <c r="J193" s="52" t="s">
        <v>1470</v>
      </c>
      <c r="K193" s="52" t="s">
        <v>2098</v>
      </c>
      <c r="L193" s="52" t="s">
        <v>2010</v>
      </c>
      <c r="N193" s="52" t="s">
        <v>2010</v>
      </c>
      <c r="O193" s="69">
        <v>45687.0</v>
      </c>
      <c r="P193" s="52">
        <v>2.0251610007893E13</v>
      </c>
      <c r="Q193" s="52" t="s">
        <v>2098</v>
      </c>
      <c r="R193" s="69">
        <v>45687.0</v>
      </c>
      <c r="S193" s="52" t="s">
        <v>3141</v>
      </c>
      <c r="T193" s="52" t="s">
        <v>2013</v>
      </c>
      <c r="U193" s="52" t="s">
        <v>3142</v>
      </c>
      <c r="V193" s="52" t="s">
        <v>581</v>
      </c>
      <c r="W193" s="52" t="s">
        <v>1471</v>
      </c>
      <c r="X193" s="52" t="s">
        <v>1030</v>
      </c>
      <c r="Y193" s="52" t="s">
        <v>841</v>
      </c>
      <c r="Z193" s="52" t="s">
        <v>2081</v>
      </c>
      <c r="AA193" s="52" t="s">
        <v>2054</v>
      </c>
      <c r="AB193" s="52" t="s">
        <v>2017</v>
      </c>
      <c r="AC193" s="52" t="s">
        <v>2054</v>
      </c>
      <c r="AD193" s="52" t="s">
        <v>587</v>
      </c>
      <c r="AE193" s="52" t="s">
        <v>3143</v>
      </c>
      <c r="AF193" s="69">
        <v>35921.0</v>
      </c>
      <c r="AG193" s="52">
        <v>27.0</v>
      </c>
      <c r="AH193" s="52" t="s">
        <v>1570</v>
      </c>
      <c r="AI193" s="52" t="s">
        <v>3144</v>
      </c>
      <c r="AJ193" s="52" t="s">
        <v>3145</v>
      </c>
      <c r="AK193" s="52" t="s">
        <v>2022</v>
      </c>
      <c r="AL193" s="52" t="s">
        <v>1537</v>
      </c>
      <c r="AM193" s="52" t="s">
        <v>587</v>
      </c>
      <c r="AN193" s="52" t="s">
        <v>1537</v>
      </c>
      <c r="AO193" s="52" t="s">
        <v>1483</v>
      </c>
      <c r="AP193" s="52">
        <v>21625.0</v>
      </c>
      <c r="AQ193" s="52">
        <v>18125.0</v>
      </c>
      <c r="AR193" s="52" t="s">
        <v>91</v>
      </c>
      <c r="AS193" s="69">
        <v>45693.0</v>
      </c>
      <c r="AT193" s="70">
        <v>46022.0</v>
      </c>
      <c r="AU193" s="69">
        <v>45693.0</v>
      </c>
      <c r="AV193" s="70">
        <v>46022.0</v>
      </c>
      <c r="AW193" s="52" t="s">
        <v>1483</v>
      </c>
      <c r="AX193" s="52" t="s">
        <v>587</v>
      </c>
      <c r="AY193" s="52">
        <v>329.0</v>
      </c>
      <c r="BA193" s="73" t="s">
        <v>3146</v>
      </c>
      <c r="BB193" s="69">
        <v>45693.0</v>
      </c>
      <c r="BC193" s="52" t="s">
        <v>561</v>
      </c>
      <c r="BD193" s="52">
        <v>6.8297252E7</v>
      </c>
      <c r="BE193" s="52" t="s">
        <v>2142</v>
      </c>
      <c r="BF193" s="52" t="s">
        <v>165</v>
      </c>
      <c r="BG193" s="52" t="s">
        <v>2041</v>
      </c>
      <c r="BH193" s="52" t="s">
        <v>780</v>
      </c>
      <c r="BI193" s="52" t="s">
        <v>2805</v>
      </c>
    </row>
    <row r="194">
      <c r="A194" s="52">
        <v>168.0</v>
      </c>
      <c r="B194" s="52" t="s">
        <v>883</v>
      </c>
      <c r="C194" s="52" t="s">
        <v>2005</v>
      </c>
      <c r="D194" s="52">
        <v>1.007688013E9</v>
      </c>
      <c r="E194" s="52" t="s">
        <v>1908</v>
      </c>
      <c r="F194" s="69">
        <v>45691.0</v>
      </c>
      <c r="G194" s="52" t="s">
        <v>885</v>
      </c>
      <c r="H194" s="52" t="s">
        <v>2088</v>
      </c>
      <c r="I194" s="52" t="s">
        <v>2088</v>
      </c>
      <c r="J194" s="52" t="s">
        <v>1478</v>
      </c>
      <c r="K194" s="52" t="s">
        <v>2515</v>
      </c>
      <c r="L194" s="52" t="s">
        <v>2010</v>
      </c>
      <c r="N194" s="52" t="s">
        <v>2010</v>
      </c>
      <c r="O194" s="69">
        <v>45687.0</v>
      </c>
      <c r="P194" s="52">
        <v>2.0251000007923E13</v>
      </c>
      <c r="Q194" s="52" t="s">
        <v>2515</v>
      </c>
      <c r="R194" s="69">
        <v>45688.0</v>
      </c>
      <c r="S194" s="52" t="s">
        <v>3147</v>
      </c>
      <c r="T194" s="52" t="s">
        <v>2013</v>
      </c>
      <c r="U194" s="52" t="s">
        <v>3148</v>
      </c>
      <c r="V194" s="52" t="s">
        <v>581</v>
      </c>
      <c r="W194" s="52" t="s">
        <v>1471</v>
      </c>
      <c r="X194" s="52" t="s">
        <v>1030</v>
      </c>
      <c r="Y194" s="52" t="s">
        <v>884</v>
      </c>
      <c r="Z194" s="52" t="s">
        <v>2015</v>
      </c>
      <c r="AA194" s="52" t="s">
        <v>2016</v>
      </c>
      <c r="AB194" s="52" t="s">
        <v>2017</v>
      </c>
      <c r="AC194" s="52" t="s">
        <v>2824</v>
      </c>
      <c r="AD194" s="52" t="s">
        <v>587</v>
      </c>
      <c r="AE194" s="52" t="s">
        <v>3050</v>
      </c>
      <c r="AF194" s="69">
        <v>36607.0</v>
      </c>
      <c r="AG194" s="52">
        <v>25.0</v>
      </c>
      <c r="AH194" s="52" t="s">
        <v>1526</v>
      </c>
      <c r="AI194" s="52" t="s">
        <v>3149</v>
      </c>
      <c r="AJ194" s="52" t="s">
        <v>3150</v>
      </c>
      <c r="AK194" s="52" t="s">
        <v>2022</v>
      </c>
      <c r="AL194" s="52" t="s">
        <v>1796</v>
      </c>
      <c r="AM194" s="52" t="s">
        <v>587</v>
      </c>
      <c r="AN194" s="52" t="s">
        <v>1796</v>
      </c>
      <c r="AO194" s="52" t="s">
        <v>1483</v>
      </c>
      <c r="AP194" s="52">
        <v>17025.0</v>
      </c>
      <c r="AQ194" s="52">
        <v>19025.0</v>
      </c>
      <c r="AR194" s="52" t="s">
        <v>77</v>
      </c>
      <c r="AS194" s="69">
        <v>45693.0</v>
      </c>
      <c r="AT194" s="70">
        <v>46022.0</v>
      </c>
      <c r="AU194" s="69">
        <v>45693.0</v>
      </c>
      <c r="AV194" s="70">
        <v>46022.0</v>
      </c>
      <c r="AW194" s="52" t="s">
        <v>1483</v>
      </c>
      <c r="AX194" s="52" t="s">
        <v>587</v>
      </c>
      <c r="AY194" s="52">
        <v>329.0</v>
      </c>
      <c r="BA194" s="73" t="s">
        <v>3151</v>
      </c>
      <c r="BB194" s="69">
        <v>45693.0</v>
      </c>
      <c r="BC194" s="52" t="s">
        <v>229</v>
      </c>
      <c r="BD194" s="69">
        <v>1.0012294E7</v>
      </c>
      <c r="BE194" s="52" t="s">
        <v>2112</v>
      </c>
      <c r="BF194" s="52" t="s">
        <v>537</v>
      </c>
      <c r="BG194" s="52" t="s">
        <v>2041</v>
      </c>
      <c r="BH194" s="52" t="s">
        <v>785</v>
      </c>
      <c r="BI194" s="52" t="s">
        <v>2805</v>
      </c>
    </row>
    <row r="195">
      <c r="A195" s="52">
        <v>169.0</v>
      </c>
      <c r="B195" s="52" t="s">
        <v>887</v>
      </c>
      <c r="C195" s="52" t="s">
        <v>2005</v>
      </c>
      <c r="D195" s="52">
        <v>1.000288699E9</v>
      </c>
      <c r="E195" s="52" t="s">
        <v>1908</v>
      </c>
      <c r="F195" s="69">
        <v>45691.0</v>
      </c>
      <c r="G195" s="52" t="s">
        <v>889</v>
      </c>
      <c r="H195" s="52" t="s">
        <v>2088</v>
      </c>
      <c r="I195" s="52" t="s">
        <v>2088</v>
      </c>
      <c r="J195" s="52" t="s">
        <v>1478</v>
      </c>
      <c r="K195" s="52" t="s">
        <v>2515</v>
      </c>
      <c r="L195" s="52" t="s">
        <v>2010</v>
      </c>
      <c r="N195" s="52" t="s">
        <v>2010</v>
      </c>
      <c r="O195" s="69">
        <v>45687.0</v>
      </c>
      <c r="P195" s="52">
        <v>2.0251000007933E13</v>
      </c>
      <c r="Q195" s="52" t="s">
        <v>2515</v>
      </c>
      <c r="R195" s="69">
        <v>45688.0</v>
      </c>
      <c r="S195" s="52" t="s">
        <v>3152</v>
      </c>
      <c r="T195" s="52" t="s">
        <v>2013</v>
      </c>
      <c r="U195" s="52" t="s">
        <v>3153</v>
      </c>
      <c r="V195" s="52" t="s">
        <v>581</v>
      </c>
      <c r="W195" s="52" t="s">
        <v>1471</v>
      </c>
      <c r="X195" s="52" t="s">
        <v>1030</v>
      </c>
      <c r="Y195" s="52" t="s">
        <v>888</v>
      </c>
      <c r="Z195" s="52" t="s">
        <v>2015</v>
      </c>
      <c r="AA195" s="52" t="s">
        <v>2016</v>
      </c>
      <c r="AB195" s="52" t="s">
        <v>2062</v>
      </c>
      <c r="AC195" s="52" t="s">
        <v>2033</v>
      </c>
      <c r="AD195" s="52" t="s">
        <v>587</v>
      </c>
      <c r="AE195" s="52" t="s">
        <v>2019</v>
      </c>
      <c r="AF195" s="69">
        <v>37015.0</v>
      </c>
      <c r="AG195" s="52">
        <v>24.0</v>
      </c>
      <c r="AH195" s="52" t="s">
        <v>1797</v>
      </c>
      <c r="AI195" s="52" t="s">
        <v>3154</v>
      </c>
      <c r="AJ195" s="52" t="s">
        <v>3155</v>
      </c>
      <c r="AK195" s="52" t="s">
        <v>2022</v>
      </c>
      <c r="AL195" s="52" t="s">
        <v>1537</v>
      </c>
      <c r="AM195" s="52" t="s">
        <v>1798</v>
      </c>
      <c r="AN195" s="52" t="s">
        <v>1799</v>
      </c>
      <c r="AO195" s="52" t="s">
        <v>1483</v>
      </c>
      <c r="AP195" s="52">
        <v>16925.0</v>
      </c>
      <c r="AQ195" s="52">
        <v>18725.0</v>
      </c>
      <c r="AR195" s="52" t="s">
        <v>77</v>
      </c>
      <c r="AS195" s="69">
        <v>45693.0</v>
      </c>
      <c r="AT195" s="70">
        <v>46022.0</v>
      </c>
      <c r="AU195" s="69">
        <v>45693.0</v>
      </c>
      <c r="AV195" s="70">
        <v>46022.0</v>
      </c>
      <c r="AW195" s="52" t="s">
        <v>1483</v>
      </c>
      <c r="AX195" s="52" t="s">
        <v>587</v>
      </c>
      <c r="AY195" s="52">
        <v>329.0</v>
      </c>
      <c r="BA195" s="73" t="s">
        <v>3156</v>
      </c>
      <c r="BB195" s="69">
        <v>45693.0</v>
      </c>
      <c r="BC195" s="52" t="s">
        <v>229</v>
      </c>
      <c r="BD195" s="69">
        <v>1.0012294E7</v>
      </c>
      <c r="BE195" s="52" t="s">
        <v>2112</v>
      </c>
      <c r="BF195" s="52" t="s">
        <v>537</v>
      </c>
      <c r="BG195" s="52" t="s">
        <v>2041</v>
      </c>
      <c r="BH195" s="52" t="s">
        <v>790</v>
      </c>
      <c r="BI195" s="52" t="s">
        <v>2805</v>
      </c>
    </row>
    <row r="196">
      <c r="A196" s="52">
        <v>170.0</v>
      </c>
      <c r="B196" s="52" t="s">
        <v>891</v>
      </c>
      <c r="C196" s="52" t="s">
        <v>2005</v>
      </c>
      <c r="D196" s="52">
        <v>4517491.0</v>
      </c>
      <c r="E196" s="52" t="s">
        <v>1908</v>
      </c>
      <c r="F196" s="69">
        <v>45691.0</v>
      </c>
      <c r="G196" s="52" t="s">
        <v>893</v>
      </c>
      <c r="H196" s="52" t="s">
        <v>2088</v>
      </c>
      <c r="I196" s="52" t="s">
        <v>2088</v>
      </c>
      <c r="J196" s="52" t="s">
        <v>1478</v>
      </c>
      <c r="K196" s="52" t="s">
        <v>2515</v>
      </c>
      <c r="L196" s="52" t="s">
        <v>2010</v>
      </c>
      <c r="N196" s="52" t="s">
        <v>2010</v>
      </c>
      <c r="O196" s="69">
        <v>45687.0</v>
      </c>
      <c r="P196" s="52">
        <v>2.0251000007943E13</v>
      </c>
      <c r="Q196" s="52" t="s">
        <v>2515</v>
      </c>
      <c r="R196" s="69">
        <v>45688.0</v>
      </c>
      <c r="S196" s="52" t="s">
        <v>3157</v>
      </c>
      <c r="T196" s="52" t="s">
        <v>2013</v>
      </c>
      <c r="U196" s="52" t="s">
        <v>3158</v>
      </c>
      <c r="V196" s="52" t="s">
        <v>581</v>
      </c>
      <c r="W196" s="52" t="s">
        <v>1471</v>
      </c>
      <c r="X196" s="52" t="s">
        <v>1030</v>
      </c>
      <c r="Y196" s="52" t="s">
        <v>892</v>
      </c>
      <c r="Z196" s="52" t="s">
        <v>2081</v>
      </c>
      <c r="AA196" s="52" t="s">
        <v>2016</v>
      </c>
      <c r="AB196" s="52" t="s">
        <v>2062</v>
      </c>
      <c r="AC196" s="52" t="s">
        <v>2824</v>
      </c>
      <c r="AD196" s="52" t="s">
        <v>587</v>
      </c>
      <c r="AE196" s="52" t="s">
        <v>2841</v>
      </c>
      <c r="AF196" s="69">
        <v>30859.0</v>
      </c>
      <c r="AG196" s="52">
        <v>41.0</v>
      </c>
      <c r="AH196" s="52" t="s">
        <v>1800</v>
      </c>
      <c r="AI196" s="52" t="s">
        <v>3159</v>
      </c>
      <c r="AJ196" s="52" t="s">
        <v>3160</v>
      </c>
      <c r="AK196" s="52" t="s">
        <v>2022</v>
      </c>
      <c r="AL196" s="52" t="s">
        <v>1779</v>
      </c>
      <c r="AM196" s="52" t="s">
        <v>1801</v>
      </c>
      <c r="AN196" s="52" t="s">
        <v>1802</v>
      </c>
      <c r="AO196" s="52" t="s">
        <v>1483</v>
      </c>
      <c r="AP196" s="52">
        <v>17225.0</v>
      </c>
      <c r="AQ196" s="52">
        <v>17925.0</v>
      </c>
      <c r="AR196" s="52" t="s">
        <v>98</v>
      </c>
      <c r="AS196" s="69">
        <v>45693.0</v>
      </c>
      <c r="AT196" s="70">
        <v>46022.0</v>
      </c>
      <c r="AU196" s="69">
        <v>45693.0</v>
      </c>
      <c r="AV196" s="70">
        <v>46022.0</v>
      </c>
      <c r="AW196" s="52" t="s">
        <v>1483</v>
      </c>
      <c r="AX196" s="52" t="s">
        <v>587</v>
      </c>
      <c r="AY196" s="52">
        <v>329.0</v>
      </c>
      <c r="BA196" s="73" t="s">
        <v>3161</v>
      </c>
      <c r="BB196" s="69">
        <v>45693.0</v>
      </c>
      <c r="BC196" s="52" t="s">
        <v>2663</v>
      </c>
      <c r="BD196" s="52">
        <v>1.019090785E9</v>
      </c>
      <c r="BE196" s="52" t="s">
        <v>2120</v>
      </c>
      <c r="BF196" s="52" t="s">
        <v>537</v>
      </c>
      <c r="BG196" s="52" t="s">
        <v>2041</v>
      </c>
      <c r="BH196" s="52" t="s">
        <v>795</v>
      </c>
      <c r="BI196" s="52" t="s">
        <v>2805</v>
      </c>
    </row>
    <row r="197">
      <c r="A197" s="52">
        <v>171.0</v>
      </c>
      <c r="B197" s="52" t="s">
        <v>895</v>
      </c>
      <c r="C197" s="52" t="s">
        <v>2005</v>
      </c>
      <c r="D197" s="52">
        <v>1.026271385E9</v>
      </c>
      <c r="E197" s="52" t="s">
        <v>1908</v>
      </c>
      <c r="F197" s="69">
        <v>45691.0</v>
      </c>
      <c r="G197" s="52" t="s">
        <v>897</v>
      </c>
      <c r="H197" s="52" t="s">
        <v>2042</v>
      </c>
      <c r="I197" s="52" t="s">
        <v>2042</v>
      </c>
      <c r="J197" s="52" t="s">
        <v>1478</v>
      </c>
      <c r="K197" s="52" t="s">
        <v>2612</v>
      </c>
      <c r="L197" s="52" t="s">
        <v>2010</v>
      </c>
      <c r="N197" s="52" t="s">
        <v>2010</v>
      </c>
      <c r="O197" s="69">
        <v>45687.0</v>
      </c>
      <c r="P197" s="52">
        <v>2.0251500008173E13</v>
      </c>
      <c r="Q197" s="52" t="s">
        <v>2612</v>
      </c>
      <c r="R197" s="69">
        <v>45688.0</v>
      </c>
      <c r="S197" s="52" t="s">
        <v>3162</v>
      </c>
      <c r="T197" s="52" t="s">
        <v>2013</v>
      </c>
      <c r="U197" s="52" t="s">
        <v>3163</v>
      </c>
      <c r="V197" s="52" t="s">
        <v>581</v>
      </c>
      <c r="W197" s="52" t="s">
        <v>1471</v>
      </c>
      <c r="X197" s="52" t="s">
        <v>1030</v>
      </c>
      <c r="Y197" s="52" t="s">
        <v>896</v>
      </c>
      <c r="Z197" s="52" t="s">
        <v>2015</v>
      </c>
      <c r="AA197" s="52" t="s">
        <v>2016</v>
      </c>
      <c r="AB197" s="52" t="s">
        <v>2062</v>
      </c>
      <c r="AC197" s="52" t="s">
        <v>2018</v>
      </c>
      <c r="AD197" s="52" t="s">
        <v>587</v>
      </c>
      <c r="AE197" s="52" t="s">
        <v>3164</v>
      </c>
      <c r="AF197" s="70">
        <v>33196.0</v>
      </c>
      <c r="AG197" s="52">
        <v>35.0</v>
      </c>
      <c r="AH197" s="52" t="s">
        <v>1521</v>
      </c>
      <c r="AI197" s="52" t="s">
        <v>3165</v>
      </c>
      <c r="AJ197" s="52" t="s">
        <v>3166</v>
      </c>
      <c r="AK197" s="52" t="s">
        <v>2022</v>
      </c>
      <c r="AL197" s="52">
        <v>8.65315E7</v>
      </c>
      <c r="AM197" s="52">
        <v>1835517.0</v>
      </c>
      <c r="AN197" s="52" t="s">
        <v>1803</v>
      </c>
      <c r="AO197" s="52" t="s">
        <v>1483</v>
      </c>
      <c r="AP197" s="52">
        <v>17825.0</v>
      </c>
      <c r="AQ197" s="52">
        <v>18925.0</v>
      </c>
      <c r="AR197" s="52" t="s">
        <v>351</v>
      </c>
      <c r="AS197" s="69">
        <v>45693.0</v>
      </c>
      <c r="AT197" s="70">
        <v>46022.0</v>
      </c>
      <c r="AU197" s="69">
        <v>45693.0</v>
      </c>
      <c r="AV197" s="70">
        <v>46022.0</v>
      </c>
      <c r="AW197" s="52" t="s">
        <v>1483</v>
      </c>
      <c r="AX197" s="52" t="s">
        <v>587</v>
      </c>
      <c r="AY197" s="52">
        <v>329.0</v>
      </c>
      <c r="BA197" s="73" t="s">
        <v>3167</v>
      </c>
      <c r="BB197" s="69">
        <v>45693.0</v>
      </c>
      <c r="BC197" s="52" t="s">
        <v>898</v>
      </c>
      <c r="BD197" s="69">
        <v>7718746.0</v>
      </c>
      <c r="BE197" s="52" t="s">
        <v>3168</v>
      </c>
      <c r="BF197" s="52" t="s">
        <v>182</v>
      </c>
      <c r="BG197" s="52" t="s">
        <v>2041</v>
      </c>
      <c r="BH197" s="52" t="s">
        <v>799</v>
      </c>
      <c r="BI197" s="52" t="s">
        <v>2805</v>
      </c>
    </row>
    <row r="198">
      <c r="A198" s="52">
        <v>172.0</v>
      </c>
      <c r="B198" s="52" t="s">
        <v>3169</v>
      </c>
      <c r="E198" s="52" t="s">
        <v>1908</v>
      </c>
      <c r="F198" s="52" t="s">
        <v>3170</v>
      </c>
      <c r="G198" s="52" t="s">
        <v>3171</v>
      </c>
      <c r="H198" s="52" t="s">
        <v>2042</v>
      </c>
      <c r="I198" s="52" t="s">
        <v>2042</v>
      </c>
      <c r="J198" s="52" t="s">
        <v>1478</v>
      </c>
      <c r="K198" s="52" t="s">
        <v>2213</v>
      </c>
      <c r="L198" s="52" t="s">
        <v>2010</v>
      </c>
      <c r="N198" s="52" t="s">
        <v>2010</v>
      </c>
      <c r="O198" s="69">
        <v>45687.0</v>
      </c>
      <c r="P198" s="52">
        <v>2.0251500008243E13</v>
      </c>
      <c r="Q198" s="52" t="s">
        <v>2213</v>
      </c>
      <c r="R198" s="69">
        <v>45688.0</v>
      </c>
      <c r="S198" s="52" t="s">
        <v>3172</v>
      </c>
      <c r="T198" s="52" t="s">
        <v>3170</v>
      </c>
      <c r="U198" s="52" t="s">
        <v>3173</v>
      </c>
      <c r="X198" s="52" t="s">
        <v>1030</v>
      </c>
      <c r="AD198" s="52" t="s">
        <v>587</v>
      </c>
      <c r="AG198" s="52">
        <v>126.0</v>
      </c>
      <c r="AJ198" s="52" t="s">
        <v>3170</v>
      </c>
      <c r="AK198" s="52" t="s">
        <v>2022</v>
      </c>
      <c r="AL198" s="52" t="s">
        <v>587</v>
      </c>
      <c r="AM198" s="52" t="s">
        <v>587</v>
      </c>
      <c r="AN198" s="52" t="s">
        <v>587</v>
      </c>
      <c r="AO198" s="52" t="s">
        <v>1483</v>
      </c>
      <c r="AQ198" s="52" t="s">
        <v>587</v>
      </c>
      <c r="AR198" s="52" t="s">
        <v>587</v>
      </c>
      <c r="AS198" s="52" t="s">
        <v>587</v>
      </c>
      <c r="AT198" s="52" t="s">
        <v>587</v>
      </c>
      <c r="AU198" s="52" t="s">
        <v>587</v>
      </c>
      <c r="AV198" s="52" t="s">
        <v>587</v>
      </c>
      <c r="AW198" s="52" t="s">
        <v>1483</v>
      </c>
      <c r="AX198" s="52" t="s">
        <v>587</v>
      </c>
      <c r="AY198" s="52">
        <v>0.0</v>
      </c>
      <c r="BB198" s="52" t="s">
        <v>587</v>
      </c>
      <c r="BG198" s="52" t="s">
        <v>3170</v>
      </c>
      <c r="BI198" s="52" t="s">
        <v>587</v>
      </c>
    </row>
    <row r="199">
      <c r="A199" s="52">
        <v>173.0</v>
      </c>
      <c r="B199" s="52" t="s">
        <v>900</v>
      </c>
      <c r="C199" s="52" t="s">
        <v>2005</v>
      </c>
      <c r="D199" s="52">
        <v>1.018472611E9</v>
      </c>
      <c r="E199" s="52" t="s">
        <v>1908</v>
      </c>
      <c r="F199" s="69">
        <v>45694.0</v>
      </c>
      <c r="G199" s="52" t="s">
        <v>902</v>
      </c>
      <c r="H199" s="52" t="s">
        <v>2177</v>
      </c>
      <c r="I199" s="52" t="s">
        <v>2177</v>
      </c>
      <c r="J199" s="52" t="s">
        <v>1478</v>
      </c>
      <c r="K199" s="52" t="s">
        <v>2515</v>
      </c>
      <c r="L199" s="52" t="s">
        <v>2010</v>
      </c>
      <c r="N199" s="52" t="s">
        <v>2010</v>
      </c>
      <c r="O199" s="69">
        <v>45688.0</v>
      </c>
      <c r="P199" s="52">
        <v>2.0251700008263E13</v>
      </c>
      <c r="Q199" s="52" t="s">
        <v>2515</v>
      </c>
      <c r="R199" s="69">
        <v>45688.0</v>
      </c>
      <c r="S199" s="52" t="s">
        <v>3174</v>
      </c>
      <c r="T199" s="52" t="s">
        <v>2013</v>
      </c>
      <c r="U199" s="52" t="s">
        <v>3175</v>
      </c>
      <c r="V199" s="52" t="s">
        <v>581</v>
      </c>
      <c r="W199" s="52" t="s">
        <v>1471</v>
      </c>
      <c r="X199" s="52" t="s">
        <v>1030</v>
      </c>
      <c r="Y199" s="52" t="s">
        <v>901</v>
      </c>
      <c r="Z199" s="52" t="s">
        <v>2015</v>
      </c>
      <c r="AA199" s="52" t="s">
        <v>2016</v>
      </c>
      <c r="AB199" s="52" t="s">
        <v>2032</v>
      </c>
      <c r="AC199" s="52" t="s">
        <v>2033</v>
      </c>
      <c r="AD199" s="52" t="s">
        <v>587</v>
      </c>
      <c r="AE199" s="52" t="s">
        <v>2019</v>
      </c>
      <c r="AF199" s="70">
        <v>34690.0</v>
      </c>
      <c r="AG199" s="52">
        <v>31.0</v>
      </c>
      <c r="AH199" s="52" t="s">
        <v>1804</v>
      </c>
      <c r="AI199" s="52" t="s">
        <v>3176</v>
      </c>
      <c r="AJ199" s="52" t="s">
        <v>3177</v>
      </c>
      <c r="AK199" s="52" t="s">
        <v>2022</v>
      </c>
      <c r="AL199" s="52" t="s">
        <v>1753</v>
      </c>
      <c r="AM199" s="52" t="s">
        <v>1604</v>
      </c>
      <c r="AN199" s="52" t="s">
        <v>1756</v>
      </c>
      <c r="AO199" s="52" t="s">
        <v>1483</v>
      </c>
      <c r="AP199" s="52">
        <v>16225.0</v>
      </c>
      <c r="AQ199" s="52">
        <v>21425.0</v>
      </c>
      <c r="AR199" s="52" t="s">
        <v>152</v>
      </c>
      <c r="AS199" s="69">
        <v>45695.0</v>
      </c>
      <c r="AT199" s="70">
        <v>46022.0</v>
      </c>
      <c r="AU199" s="69">
        <v>45695.0</v>
      </c>
      <c r="AV199" s="70">
        <v>46022.0</v>
      </c>
      <c r="AW199" s="52" t="s">
        <v>1483</v>
      </c>
      <c r="AX199" s="52" t="s">
        <v>587</v>
      </c>
      <c r="AY199" s="52">
        <v>327.0</v>
      </c>
      <c r="BA199" s="73" t="s">
        <v>3178</v>
      </c>
      <c r="BB199" s="69">
        <v>45695.0</v>
      </c>
      <c r="BC199" s="52" t="s">
        <v>903</v>
      </c>
      <c r="BD199" s="52">
        <v>1.113665811E9</v>
      </c>
      <c r="BE199" s="52" t="s">
        <v>3179</v>
      </c>
      <c r="BF199" s="52" t="s">
        <v>154</v>
      </c>
      <c r="BG199" s="52" t="s">
        <v>2041</v>
      </c>
      <c r="BH199" s="52" t="s">
        <v>806</v>
      </c>
      <c r="BI199" s="52" t="s">
        <v>2805</v>
      </c>
    </row>
    <row r="200">
      <c r="A200" s="52">
        <v>174.0</v>
      </c>
      <c r="B200" s="52" t="s">
        <v>905</v>
      </c>
      <c r="C200" s="52" t="s">
        <v>2005</v>
      </c>
      <c r="D200" s="52">
        <v>1.062425689E9</v>
      </c>
      <c r="E200" s="52" t="s">
        <v>1908</v>
      </c>
      <c r="F200" s="69">
        <v>45693.0</v>
      </c>
      <c r="G200" s="52" t="s">
        <v>907</v>
      </c>
      <c r="H200" s="52" t="s">
        <v>2299</v>
      </c>
      <c r="I200" s="52" t="s">
        <v>2299</v>
      </c>
      <c r="J200" s="52" t="s">
        <v>1478</v>
      </c>
      <c r="K200" s="52" t="s">
        <v>2069</v>
      </c>
      <c r="L200" s="52" t="s">
        <v>2010</v>
      </c>
      <c r="N200" s="52" t="s">
        <v>2010</v>
      </c>
      <c r="O200" s="69">
        <v>45688.0</v>
      </c>
      <c r="P200" s="52">
        <v>2.0251300008323E13</v>
      </c>
      <c r="Q200" s="52" t="s">
        <v>2069</v>
      </c>
      <c r="R200" s="69">
        <v>45688.0</v>
      </c>
      <c r="S200" s="52" t="s">
        <v>3180</v>
      </c>
      <c r="T200" s="52" t="s">
        <v>2013</v>
      </c>
      <c r="U200" s="52" t="s">
        <v>3181</v>
      </c>
      <c r="V200" s="52" t="s">
        <v>581</v>
      </c>
      <c r="W200" s="52" t="s">
        <v>1471</v>
      </c>
      <c r="X200" s="52" t="s">
        <v>781</v>
      </c>
      <c r="Y200" s="52" t="s">
        <v>906</v>
      </c>
      <c r="Z200" s="52" t="s">
        <v>2081</v>
      </c>
      <c r="AA200" s="52" t="s">
        <v>2016</v>
      </c>
      <c r="AB200" s="52" t="s">
        <v>2062</v>
      </c>
      <c r="AC200" s="52" t="s">
        <v>2082</v>
      </c>
      <c r="AD200" s="52" t="s">
        <v>587</v>
      </c>
      <c r="AE200" s="52" t="s">
        <v>3182</v>
      </c>
      <c r="AF200" s="69">
        <v>38180.0</v>
      </c>
      <c r="AG200" s="52">
        <v>21.0</v>
      </c>
      <c r="AH200" s="52" t="s">
        <v>1805</v>
      </c>
      <c r="AI200" s="52" t="s">
        <v>3183</v>
      </c>
      <c r="AJ200" s="52" t="s">
        <v>3184</v>
      </c>
      <c r="AK200" s="52" t="s">
        <v>2022</v>
      </c>
      <c r="AL200" s="52" t="s">
        <v>1806</v>
      </c>
      <c r="AM200" s="52" t="s">
        <v>587</v>
      </c>
      <c r="AN200" s="52" t="s">
        <v>1806</v>
      </c>
      <c r="AO200" s="52" t="s">
        <v>1483</v>
      </c>
      <c r="AP200" s="52">
        <v>19225.0</v>
      </c>
      <c r="AQ200" s="52">
        <v>20025.0</v>
      </c>
      <c r="AR200" s="52" t="s">
        <v>197</v>
      </c>
      <c r="AS200" s="69">
        <v>45694.0</v>
      </c>
      <c r="AT200" s="70">
        <v>46011.0</v>
      </c>
      <c r="AU200" s="69">
        <v>45694.0</v>
      </c>
      <c r="AV200" s="70">
        <v>46011.0</v>
      </c>
      <c r="AW200" s="52" t="s">
        <v>1483</v>
      </c>
      <c r="AX200" s="52" t="s">
        <v>587</v>
      </c>
      <c r="AY200" s="52">
        <v>317.0</v>
      </c>
      <c r="BA200" s="73" t="s">
        <v>3185</v>
      </c>
      <c r="BB200" s="69">
        <v>45694.0</v>
      </c>
      <c r="BC200" s="52" t="s">
        <v>198</v>
      </c>
      <c r="BD200" s="52">
        <v>7.9522477E7</v>
      </c>
      <c r="BE200" s="52" t="s">
        <v>2306</v>
      </c>
      <c r="BF200" s="52" t="s">
        <v>263</v>
      </c>
      <c r="BG200" s="52" t="s">
        <v>2041</v>
      </c>
      <c r="BH200" s="52" t="s">
        <v>810</v>
      </c>
      <c r="BI200" s="52" t="s">
        <v>2805</v>
      </c>
    </row>
    <row r="201">
      <c r="A201" s="52">
        <v>175.0</v>
      </c>
      <c r="B201" s="52" t="s">
        <v>909</v>
      </c>
      <c r="C201" s="52" t="s">
        <v>2005</v>
      </c>
      <c r="D201" s="52">
        <v>1.015424748E9</v>
      </c>
      <c r="E201" s="52" t="s">
        <v>1908</v>
      </c>
      <c r="F201" s="69">
        <v>45693.0</v>
      </c>
      <c r="G201" s="52" t="s">
        <v>911</v>
      </c>
      <c r="H201" s="52" t="s">
        <v>2042</v>
      </c>
      <c r="I201" s="52" t="s">
        <v>2042</v>
      </c>
      <c r="J201" s="52" t="s">
        <v>1478</v>
      </c>
      <c r="K201" s="52" t="s">
        <v>2213</v>
      </c>
      <c r="L201" s="52" t="s">
        <v>2010</v>
      </c>
      <c r="N201" s="52" t="s">
        <v>2010</v>
      </c>
      <c r="O201" s="69">
        <v>45691.0</v>
      </c>
      <c r="P201" s="52">
        <v>2.0251500008493E13</v>
      </c>
      <c r="Q201" s="52" t="s">
        <v>2213</v>
      </c>
      <c r="R201" s="69">
        <v>45691.0</v>
      </c>
      <c r="S201" s="52" t="s">
        <v>3186</v>
      </c>
      <c r="T201" s="52" t="s">
        <v>2013</v>
      </c>
      <c r="U201" s="52" t="s">
        <v>3187</v>
      </c>
      <c r="V201" s="52" t="s">
        <v>581</v>
      </c>
      <c r="W201" s="52" t="s">
        <v>1471</v>
      </c>
      <c r="X201" s="52" t="s">
        <v>1030</v>
      </c>
      <c r="Y201" s="52" t="s">
        <v>910</v>
      </c>
      <c r="Z201" s="52" t="s">
        <v>2081</v>
      </c>
      <c r="AA201" s="52" t="s">
        <v>2016</v>
      </c>
      <c r="AB201" s="52" t="s">
        <v>2470</v>
      </c>
      <c r="AC201" s="52" t="s">
        <v>2033</v>
      </c>
      <c r="AD201" s="52" t="s">
        <v>587</v>
      </c>
      <c r="AE201" s="52" t="s">
        <v>2019</v>
      </c>
      <c r="AF201" s="69">
        <v>33441.0</v>
      </c>
      <c r="AG201" s="52">
        <v>34.0</v>
      </c>
      <c r="AH201" s="52" t="s">
        <v>1526</v>
      </c>
      <c r="AI201" s="52" t="s">
        <v>3188</v>
      </c>
      <c r="AJ201" s="52" t="s">
        <v>3189</v>
      </c>
      <c r="AK201" s="52" t="s">
        <v>2022</v>
      </c>
      <c r="AL201" s="52" t="s">
        <v>1745</v>
      </c>
      <c r="AM201" s="52" t="s">
        <v>587</v>
      </c>
      <c r="AN201" s="52" t="s">
        <v>1745</v>
      </c>
      <c r="AO201" s="52" t="s">
        <v>1483</v>
      </c>
      <c r="AP201" s="52">
        <v>13825.0</v>
      </c>
      <c r="AQ201" s="52">
        <v>20425.0</v>
      </c>
      <c r="AR201" s="52" t="s">
        <v>53</v>
      </c>
      <c r="AS201" s="69">
        <v>45694.0</v>
      </c>
      <c r="AT201" s="69">
        <v>45874.0</v>
      </c>
      <c r="AU201" s="69">
        <v>45694.0</v>
      </c>
      <c r="AV201" s="69">
        <v>45874.0</v>
      </c>
      <c r="AW201" s="52" t="s">
        <v>1483</v>
      </c>
      <c r="AX201" s="52" t="s">
        <v>587</v>
      </c>
      <c r="AY201" s="52">
        <v>180.0</v>
      </c>
      <c r="BA201" s="73" t="s">
        <v>3190</v>
      </c>
      <c r="BB201" s="69">
        <v>45694.0</v>
      </c>
      <c r="BC201" s="52" t="s">
        <v>912</v>
      </c>
      <c r="BD201" s="52">
        <v>1.010250505E9</v>
      </c>
      <c r="BE201" s="52" t="s">
        <v>3191</v>
      </c>
      <c r="BF201" s="52" t="s">
        <v>182</v>
      </c>
      <c r="BG201" s="52" t="s">
        <v>2041</v>
      </c>
      <c r="BH201" s="52" t="s">
        <v>814</v>
      </c>
      <c r="BI201" s="52" t="s">
        <v>2805</v>
      </c>
    </row>
    <row r="202">
      <c r="A202" s="52">
        <v>176.0</v>
      </c>
      <c r="B202" s="52" t="s">
        <v>914</v>
      </c>
      <c r="C202" s="52" t="s">
        <v>2005</v>
      </c>
      <c r="D202" s="52">
        <v>1.033769305E9</v>
      </c>
      <c r="E202" s="52" t="s">
        <v>1908</v>
      </c>
      <c r="F202" s="69">
        <v>45693.0</v>
      </c>
      <c r="G202" s="52" t="s">
        <v>916</v>
      </c>
      <c r="H202" s="52" t="s">
        <v>2143</v>
      </c>
      <c r="J202" s="52" t="s">
        <v>1478</v>
      </c>
      <c r="K202" s="52" t="s">
        <v>2029</v>
      </c>
      <c r="L202" s="52" t="s">
        <v>2010</v>
      </c>
      <c r="N202" s="52" t="s">
        <v>2010</v>
      </c>
      <c r="O202" s="69">
        <v>45691.0</v>
      </c>
      <c r="P202" s="52">
        <v>2.0251010008503E13</v>
      </c>
      <c r="Q202" s="52" t="s">
        <v>2029</v>
      </c>
      <c r="R202" s="69">
        <v>45691.0</v>
      </c>
      <c r="S202" s="52" t="s">
        <v>3192</v>
      </c>
      <c r="T202" s="52" t="s">
        <v>2013</v>
      </c>
      <c r="U202" s="52" t="s">
        <v>3193</v>
      </c>
      <c r="V202" s="52" t="s">
        <v>581</v>
      </c>
      <c r="W202" s="52" t="s">
        <v>1471</v>
      </c>
      <c r="X202" s="52" t="s">
        <v>1030</v>
      </c>
      <c r="Y202" s="52" t="s">
        <v>915</v>
      </c>
      <c r="Z202" s="52" t="s">
        <v>2015</v>
      </c>
      <c r="AA202" s="52" t="s">
        <v>2016</v>
      </c>
      <c r="AB202" s="52" t="s">
        <v>2032</v>
      </c>
      <c r="AC202" s="52" t="s">
        <v>2018</v>
      </c>
      <c r="AD202" s="52" t="s">
        <v>587</v>
      </c>
      <c r="AE202" s="52" t="s">
        <v>2019</v>
      </c>
      <c r="AF202" s="69">
        <v>34606.0</v>
      </c>
      <c r="AG202" s="52">
        <v>31.0</v>
      </c>
      <c r="AH202" s="52" t="s">
        <v>1507</v>
      </c>
      <c r="AI202" s="52" t="s">
        <v>3194</v>
      </c>
      <c r="AJ202" s="52" t="s">
        <v>3195</v>
      </c>
      <c r="AK202" s="52" t="s">
        <v>2022</v>
      </c>
      <c r="AL202" s="52" t="s">
        <v>1807</v>
      </c>
      <c r="AM202" s="52" t="s">
        <v>587</v>
      </c>
      <c r="AN202" s="52" t="s">
        <v>1807</v>
      </c>
      <c r="AO202" s="52" t="s">
        <v>1483</v>
      </c>
      <c r="AP202" s="52">
        <v>21225.0</v>
      </c>
      <c r="AQ202" s="52">
        <v>19625.0</v>
      </c>
      <c r="AR202" s="52" t="s">
        <v>917</v>
      </c>
      <c r="AS202" s="69">
        <v>45694.0</v>
      </c>
      <c r="AT202" s="69">
        <v>45905.0</v>
      </c>
      <c r="AU202" s="69">
        <v>45694.0</v>
      </c>
      <c r="AV202" s="69">
        <v>45905.0</v>
      </c>
      <c r="AW202" s="52" t="s">
        <v>1483</v>
      </c>
      <c r="AX202" s="52" t="s">
        <v>587</v>
      </c>
      <c r="AY202" s="52">
        <v>211.0</v>
      </c>
      <c r="BA202" s="73" t="s">
        <v>3196</v>
      </c>
      <c r="BB202" s="69">
        <v>45694.0</v>
      </c>
      <c r="BC202" s="52" t="s">
        <v>211</v>
      </c>
      <c r="BD202" s="52">
        <v>3.9547555E7</v>
      </c>
      <c r="BE202" s="52" t="s">
        <v>2239</v>
      </c>
      <c r="BF202" s="52" t="s">
        <v>205</v>
      </c>
      <c r="BG202" s="52" t="s">
        <v>2041</v>
      </c>
      <c r="BH202" s="52" t="s">
        <v>818</v>
      </c>
      <c r="BI202" s="52" t="s">
        <v>2805</v>
      </c>
    </row>
    <row r="203">
      <c r="A203" s="52">
        <v>177.0</v>
      </c>
      <c r="B203" s="52" t="s">
        <v>919</v>
      </c>
      <c r="C203" s="52" t="s">
        <v>2005</v>
      </c>
      <c r="D203" s="52">
        <v>1.193406964E9</v>
      </c>
      <c r="E203" s="52" t="s">
        <v>1908</v>
      </c>
      <c r="F203" s="69">
        <v>45693.0</v>
      </c>
      <c r="G203" s="52" t="s">
        <v>921</v>
      </c>
      <c r="H203" s="52" t="s">
        <v>2143</v>
      </c>
      <c r="J203" s="52" t="s">
        <v>1478</v>
      </c>
      <c r="K203" s="52" t="s">
        <v>2029</v>
      </c>
      <c r="L203" s="52" t="s">
        <v>2010</v>
      </c>
      <c r="N203" s="52" t="s">
        <v>2010</v>
      </c>
      <c r="O203" s="69">
        <v>45691.0</v>
      </c>
      <c r="P203" s="52">
        <v>2.0251010008513E13</v>
      </c>
      <c r="Q203" s="52" t="s">
        <v>2029</v>
      </c>
      <c r="R203" s="69">
        <v>45691.0</v>
      </c>
      <c r="S203" s="52" t="s">
        <v>3197</v>
      </c>
      <c r="T203" s="52" t="s">
        <v>2013</v>
      </c>
      <c r="U203" s="52" t="s">
        <v>3198</v>
      </c>
      <c r="V203" s="52" t="s">
        <v>581</v>
      </c>
      <c r="W203" s="52" t="s">
        <v>1471</v>
      </c>
      <c r="X203" s="52" t="s">
        <v>1030</v>
      </c>
      <c r="Y203" s="52" t="s">
        <v>920</v>
      </c>
      <c r="Z203" s="52" t="s">
        <v>2015</v>
      </c>
      <c r="AA203" s="52" t="s">
        <v>2016</v>
      </c>
      <c r="AB203" s="52" t="s">
        <v>2017</v>
      </c>
      <c r="AC203" s="52" t="s">
        <v>2054</v>
      </c>
      <c r="AD203" s="52" t="s">
        <v>587</v>
      </c>
      <c r="AE203" s="52" t="s">
        <v>2841</v>
      </c>
      <c r="AF203" s="69">
        <v>36556.0</v>
      </c>
      <c r="AG203" s="52">
        <v>25.0</v>
      </c>
      <c r="AH203" s="52" t="s">
        <v>1528</v>
      </c>
      <c r="AI203" s="52" t="s">
        <v>3199</v>
      </c>
      <c r="AJ203" s="52" t="s">
        <v>3200</v>
      </c>
      <c r="AK203" s="52" t="s">
        <v>2022</v>
      </c>
      <c r="AL203" s="52" t="s">
        <v>1808</v>
      </c>
      <c r="AM203" s="52" t="s">
        <v>587</v>
      </c>
      <c r="AN203" s="52" t="s">
        <v>1808</v>
      </c>
      <c r="AO203" s="52" t="s">
        <v>1483</v>
      </c>
      <c r="AP203" s="52">
        <v>22125.0</v>
      </c>
      <c r="AQ203" s="52">
        <v>20625.0</v>
      </c>
      <c r="AR203" s="52" t="s">
        <v>203</v>
      </c>
      <c r="AS203" s="69">
        <v>45694.0</v>
      </c>
      <c r="AT203" s="70">
        <v>46022.0</v>
      </c>
      <c r="AU203" s="69">
        <v>45695.0</v>
      </c>
      <c r="AV203" s="70">
        <v>46022.0</v>
      </c>
      <c r="AW203" s="52" t="s">
        <v>1483</v>
      </c>
      <c r="AX203" s="52" t="s">
        <v>587</v>
      </c>
      <c r="AY203" s="52">
        <v>327.0</v>
      </c>
      <c r="BA203" s="73" t="s">
        <v>3201</v>
      </c>
      <c r="BB203" s="69">
        <v>45694.0</v>
      </c>
      <c r="BC203" s="52" t="s">
        <v>922</v>
      </c>
      <c r="BD203" s="70">
        <v>3.5250564E7</v>
      </c>
      <c r="BE203" s="52" t="s">
        <v>3202</v>
      </c>
      <c r="BF203" s="52" t="s">
        <v>242</v>
      </c>
      <c r="BG203" s="52" t="s">
        <v>2041</v>
      </c>
      <c r="BH203" s="52" t="s">
        <v>822</v>
      </c>
      <c r="BI203" s="52" t="s">
        <v>2805</v>
      </c>
    </row>
    <row r="204">
      <c r="A204" s="52">
        <v>178.0</v>
      </c>
      <c r="B204" s="52" t="s">
        <v>923</v>
      </c>
      <c r="C204" s="52" t="s">
        <v>2005</v>
      </c>
      <c r="D204" s="52">
        <v>1.098826619E9</v>
      </c>
      <c r="E204" s="52" t="s">
        <v>1908</v>
      </c>
      <c r="F204" s="69">
        <v>45694.0</v>
      </c>
      <c r="G204" s="52" t="s">
        <v>925</v>
      </c>
      <c r="H204" s="52" t="s">
        <v>2068</v>
      </c>
      <c r="I204" s="52" t="s">
        <v>2068</v>
      </c>
      <c r="J204" s="52" t="s">
        <v>1478</v>
      </c>
      <c r="K204" s="52" t="s">
        <v>2059</v>
      </c>
      <c r="L204" s="52" t="s">
        <v>2010</v>
      </c>
      <c r="N204" s="52" t="s">
        <v>2010</v>
      </c>
      <c r="O204" s="69">
        <v>45691.0</v>
      </c>
      <c r="P204" s="52">
        <v>2.0251900008583E13</v>
      </c>
      <c r="Q204" s="52" t="s">
        <v>2059</v>
      </c>
      <c r="R204" s="69">
        <v>45691.0</v>
      </c>
      <c r="S204" s="52" t="s">
        <v>3203</v>
      </c>
      <c r="T204" s="52" t="s">
        <v>2013</v>
      </c>
      <c r="U204" s="52" t="s">
        <v>3204</v>
      </c>
      <c r="V204" s="52" t="s">
        <v>581</v>
      </c>
      <c r="W204" s="52" t="s">
        <v>1471</v>
      </c>
      <c r="X204" s="52" t="s">
        <v>1030</v>
      </c>
      <c r="Y204" s="52" t="s">
        <v>924</v>
      </c>
      <c r="Z204" s="52" t="s">
        <v>2081</v>
      </c>
      <c r="AA204" s="52" t="s">
        <v>2153</v>
      </c>
      <c r="AB204" s="52" t="s">
        <v>2032</v>
      </c>
      <c r="AC204" s="52" t="s">
        <v>2824</v>
      </c>
      <c r="AD204" s="52" t="s">
        <v>587</v>
      </c>
      <c r="AE204" s="52" t="s">
        <v>3205</v>
      </c>
      <c r="AF204" s="70">
        <v>36524.0</v>
      </c>
      <c r="AG204" s="52">
        <v>26.0</v>
      </c>
      <c r="AH204" s="52" t="s">
        <v>1689</v>
      </c>
      <c r="AI204" s="52" t="s">
        <v>3206</v>
      </c>
      <c r="AJ204" s="52" t="s">
        <v>3207</v>
      </c>
      <c r="AK204" s="52" t="s">
        <v>2022</v>
      </c>
      <c r="AL204" s="52" t="s">
        <v>1809</v>
      </c>
      <c r="AM204" s="52" t="s">
        <v>587</v>
      </c>
      <c r="AN204" s="52" t="s">
        <v>1809</v>
      </c>
      <c r="AO204" s="52" t="s">
        <v>1483</v>
      </c>
      <c r="AP204" s="52">
        <v>23125.0</v>
      </c>
      <c r="AQ204" s="52">
        <v>20825.0</v>
      </c>
      <c r="AR204" s="52" t="s">
        <v>926</v>
      </c>
      <c r="AS204" s="69">
        <v>45695.0</v>
      </c>
      <c r="AT204" s="70">
        <v>46019.0</v>
      </c>
      <c r="AU204" s="69">
        <v>45695.0</v>
      </c>
      <c r="AV204" s="70">
        <v>46019.0</v>
      </c>
      <c r="AW204" s="52" t="s">
        <v>1483</v>
      </c>
      <c r="AX204" s="52" t="s">
        <v>587</v>
      </c>
      <c r="AY204" s="52">
        <v>324.0</v>
      </c>
      <c r="BA204" s="73" t="s">
        <v>3208</v>
      </c>
      <c r="BB204" s="69">
        <v>45694.0</v>
      </c>
      <c r="BC204" s="52" t="s">
        <v>779</v>
      </c>
      <c r="BD204" s="52">
        <v>7.9065076E7</v>
      </c>
      <c r="BE204" s="52" t="s">
        <v>3010</v>
      </c>
      <c r="BF204" s="52" t="s">
        <v>223</v>
      </c>
      <c r="BG204" s="52" t="s">
        <v>2041</v>
      </c>
      <c r="BH204" s="52" t="s">
        <v>826</v>
      </c>
      <c r="BI204" s="52" t="s">
        <v>2805</v>
      </c>
    </row>
    <row r="205">
      <c r="A205" s="52">
        <v>179.0</v>
      </c>
      <c r="B205" s="52" t="s">
        <v>928</v>
      </c>
      <c r="C205" s="52" t="s">
        <v>2005</v>
      </c>
      <c r="D205" s="52">
        <v>1.026579774E9</v>
      </c>
      <c r="E205" s="52" t="s">
        <v>1908</v>
      </c>
      <c r="F205" s="69">
        <v>45693.0</v>
      </c>
      <c r="G205" s="52" t="s">
        <v>930</v>
      </c>
      <c r="H205" s="52" t="s">
        <v>2068</v>
      </c>
      <c r="I205" s="52" t="s">
        <v>2068</v>
      </c>
      <c r="J205" s="52" t="s">
        <v>1478</v>
      </c>
      <c r="K205" s="52" t="s">
        <v>2059</v>
      </c>
      <c r="L205" s="52" t="s">
        <v>2010</v>
      </c>
      <c r="N205" s="52" t="s">
        <v>2010</v>
      </c>
      <c r="O205" s="69">
        <v>45691.0</v>
      </c>
      <c r="P205" s="52">
        <v>2.0251900008573E13</v>
      </c>
      <c r="Q205" s="52" t="s">
        <v>2059</v>
      </c>
      <c r="R205" s="69">
        <v>45691.0</v>
      </c>
      <c r="S205" s="52" t="s">
        <v>3209</v>
      </c>
      <c r="T205" s="52" t="s">
        <v>2013</v>
      </c>
      <c r="U205" s="52" t="s">
        <v>3210</v>
      </c>
      <c r="V205" s="52" t="s">
        <v>581</v>
      </c>
      <c r="W205" s="52" t="s">
        <v>1471</v>
      </c>
      <c r="X205" s="52" t="s">
        <v>1030</v>
      </c>
      <c r="Y205" s="52" t="s">
        <v>929</v>
      </c>
      <c r="Z205" s="52" t="s">
        <v>2081</v>
      </c>
      <c r="AA205" s="52" t="s">
        <v>2016</v>
      </c>
      <c r="AB205" s="52" t="s">
        <v>2032</v>
      </c>
      <c r="AC205" s="52" t="s">
        <v>2033</v>
      </c>
      <c r="AD205" s="52" t="s">
        <v>587</v>
      </c>
      <c r="AE205" s="52" t="s">
        <v>2935</v>
      </c>
      <c r="AF205" s="69">
        <v>31068.0</v>
      </c>
      <c r="AG205" s="52">
        <v>40.0</v>
      </c>
      <c r="AH205" s="52" t="s">
        <v>1712</v>
      </c>
      <c r="AI205" s="52" t="s">
        <v>2936</v>
      </c>
      <c r="AJ205" s="52" t="s">
        <v>3211</v>
      </c>
      <c r="AK205" s="52" t="s">
        <v>2022</v>
      </c>
      <c r="AL205" s="52" t="s">
        <v>1810</v>
      </c>
      <c r="AM205" s="52" t="s">
        <v>587</v>
      </c>
      <c r="AN205" s="52" t="s">
        <v>1810</v>
      </c>
      <c r="AO205" s="52" t="s">
        <v>1483</v>
      </c>
      <c r="AP205" s="52">
        <v>23325.0</v>
      </c>
      <c r="AQ205" s="52">
        <v>19725.0</v>
      </c>
      <c r="AR205" s="52" t="s">
        <v>926</v>
      </c>
      <c r="AS205" s="69">
        <v>45695.0</v>
      </c>
      <c r="AT205" s="70">
        <v>46019.0</v>
      </c>
      <c r="AU205" s="69">
        <v>45695.0</v>
      </c>
      <c r="AV205" s="70">
        <v>46019.0</v>
      </c>
      <c r="AW205" s="52" t="s">
        <v>1483</v>
      </c>
      <c r="AX205" s="52" t="s">
        <v>587</v>
      </c>
      <c r="AY205" s="52">
        <v>324.0</v>
      </c>
      <c r="BA205" s="73" t="s">
        <v>2938</v>
      </c>
      <c r="BB205" s="69">
        <v>45694.0</v>
      </c>
      <c r="BC205" s="52" t="s">
        <v>433</v>
      </c>
      <c r="BD205" s="52">
        <v>1.02071366E9</v>
      </c>
      <c r="BE205" s="52" t="s">
        <v>2528</v>
      </c>
      <c r="BF205" s="52" t="s">
        <v>223</v>
      </c>
      <c r="BG205" s="52" t="s">
        <v>2041</v>
      </c>
      <c r="BH205" s="52" t="s">
        <v>831</v>
      </c>
      <c r="BI205" s="52" t="s">
        <v>2805</v>
      </c>
    </row>
    <row r="206">
      <c r="A206" s="52">
        <v>180.0</v>
      </c>
      <c r="B206" s="52" t="s">
        <v>931</v>
      </c>
      <c r="C206" s="52" t="s">
        <v>2005</v>
      </c>
      <c r="D206" s="52">
        <v>1.010065876E9</v>
      </c>
      <c r="E206" s="52" t="s">
        <v>1908</v>
      </c>
      <c r="F206" s="69">
        <v>45693.0</v>
      </c>
      <c r="G206" s="52" t="s">
        <v>933</v>
      </c>
      <c r="H206" s="52" t="s">
        <v>2068</v>
      </c>
      <c r="I206" s="52" t="s">
        <v>2068</v>
      </c>
      <c r="J206" s="52" t="s">
        <v>1478</v>
      </c>
      <c r="K206" s="52" t="s">
        <v>2059</v>
      </c>
      <c r="L206" s="52" t="s">
        <v>2010</v>
      </c>
      <c r="N206" s="52" t="s">
        <v>2010</v>
      </c>
      <c r="O206" s="69">
        <v>45691.0</v>
      </c>
      <c r="P206" s="52">
        <v>2.0251900008593E13</v>
      </c>
      <c r="Q206" s="52" t="s">
        <v>2059</v>
      </c>
      <c r="R206" s="69">
        <v>45691.0</v>
      </c>
      <c r="S206" s="52" t="s">
        <v>3212</v>
      </c>
      <c r="T206" s="52" t="s">
        <v>2013</v>
      </c>
      <c r="U206" s="52" t="s">
        <v>3213</v>
      </c>
      <c r="V206" s="52" t="s">
        <v>581</v>
      </c>
      <c r="W206" s="52" t="s">
        <v>1471</v>
      </c>
      <c r="X206" s="52" t="s">
        <v>781</v>
      </c>
      <c r="Y206" s="52" t="s">
        <v>932</v>
      </c>
      <c r="Z206" s="52" t="s">
        <v>2081</v>
      </c>
      <c r="AA206" s="52" t="s">
        <v>2054</v>
      </c>
      <c r="AB206" s="52" t="s">
        <v>2032</v>
      </c>
      <c r="AC206" s="52" t="s">
        <v>2824</v>
      </c>
      <c r="AD206" s="52" t="s">
        <v>587</v>
      </c>
      <c r="AE206" s="52" t="s">
        <v>3061</v>
      </c>
      <c r="AF206" s="69">
        <v>36798.0</v>
      </c>
      <c r="AG206" s="52">
        <v>25.0</v>
      </c>
      <c r="AH206" s="52" t="s">
        <v>1573</v>
      </c>
      <c r="AI206" s="52" t="s">
        <v>3214</v>
      </c>
      <c r="AJ206" s="52" t="s">
        <v>3215</v>
      </c>
      <c r="AK206" s="52" t="s">
        <v>2022</v>
      </c>
      <c r="AL206" s="52" t="s">
        <v>1767</v>
      </c>
      <c r="AM206" s="52" t="s">
        <v>587</v>
      </c>
      <c r="AN206" s="52" t="s">
        <v>1767</v>
      </c>
      <c r="AO206" s="52" t="s">
        <v>1483</v>
      </c>
      <c r="AP206" s="52">
        <v>23225.0</v>
      </c>
      <c r="AQ206" s="52">
        <v>20325.0</v>
      </c>
      <c r="AR206" s="52" t="s">
        <v>367</v>
      </c>
      <c r="AS206" s="69">
        <v>45694.0</v>
      </c>
      <c r="AT206" s="70">
        <v>46022.0</v>
      </c>
      <c r="AU206" s="69">
        <v>45694.0</v>
      </c>
      <c r="AV206" s="70">
        <v>46022.0</v>
      </c>
      <c r="AW206" s="52" t="s">
        <v>1483</v>
      </c>
      <c r="AX206" s="52" t="s">
        <v>587</v>
      </c>
      <c r="AY206" s="52">
        <v>328.0</v>
      </c>
      <c r="BA206" s="73" t="s">
        <v>3216</v>
      </c>
      <c r="BB206" s="69">
        <v>45694.0</v>
      </c>
      <c r="BC206" s="52" t="s">
        <v>934</v>
      </c>
      <c r="BD206" s="69">
        <v>1.9312772E7</v>
      </c>
      <c r="BE206" s="52" t="s">
        <v>2687</v>
      </c>
      <c r="BF206" s="52" t="s">
        <v>223</v>
      </c>
      <c r="BG206" s="52" t="s">
        <v>2041</v>
      </c>
      <c r="BH206" s="52" t="s">
        <v>835</v>
      </c>
      <c r="BI206" s="52" t="s">
        <v>2805</v>
      </c>
    </row>
    <row r="207">
      <c r="A207" s="52">
        <v>181.0</v>
      </c>
      <c r="B207" s="52" t="s">
        <v>935</v>
      </c>
      <c r="C207" s="52" t="s">
        <v>2005</v>
      </c>
      <c r="D207" s="52">
        <v>1.030610778E9</v>
      </c>
      <c r="E207" s="52" t="s">
        <v>1908</v>
      </c>
      <c r="F207" s="69">
        <v>45694.0</v>
      </c>
      <c r="G207" s="52" t="s">
        <v>937</v>
      </c>
      <c r="H207" s="52" t="s">
        <v>2042</v>
      </c>
      <c r="I207" s="52" t="s">
        <v>2042</v>
      </c>
      <c r="J207" s="52" t="s">
        <v>1478</v>
      </c>
      <c r="K207" s="52" t="s">
        <v>2213</v>
      </c>
      <c r="L207" s="52" t="s">
        <v>2010</v>
      </c>
      <c r="N207" s="52" t="s">
        <v>2010</v>
      </c>
      <c r="O207" s="69">
        <v>45691.0</v>
      </c>
      <c r="P207" s="52">
        <v>2.0251500008673E13</v>
      </c>
      <c r="Q207" s="52" t="s">
        <v>2213</v>
      </c>
      <c r="R207" s="69">
        <v>45692.0</v>
      </c>
      <c r="S207" s="52" t="s">
        <v>3217</v>
      </c>
      <c r="T207" s="52" t="s">
        <v>2013</v>
      </c>
      <c r="U207" s="52" t="s">
        <v>3218</v>
      </c>
      <c r="V207" s="52" t="s">
        <v>581</v>
      </c>
      <c r="W207" s="52" t="s">
        <v>1471</v>
      </c>
      <c r="X207" s="52" t="s">
        <v>1030</v>
      </c>
      <c r="Y207" s="52" t="s">
        <v>936</v>
      </c>
      <c r="Z207" s="52" t="s">
        <v>2081</v>
      </c>
      <c r="AA207" s="52" t="s">
        <v>2016</v>
      </c>
      <c r="AB207" s="52" t="s">
        <v>2228</v>
      </c>
      <c r="AC207" s="52" t="s">
        <v>2018</v>
      </c>
      <c r="AD207" s="52" t="s">
        <v>587</v>
      </c>
      <c r="AE207" s="52" t="s">
        <v>2019</v>
      </c>
      <c r="AF207" s="69">
        <v>33781.0</v>
      </c>
      <c r="AG207" s="52">
        <v>33.0</v>
      </c>
      <c r="AH207" s="52" t="s">
        <v>1625</v>
      </c>
      <c r="AI207" s="52" t="s">
        <v>3219</v>
      </c>
      <c r="AJ207" s="52" t="s">
        <v>3220</v>
      </c>
      <c r="AK207" s="52" t="s">
        <v>2022</v>
      </c>
      <c r="AL207" s="52" t="s">
        <v>1811</v>
      </c>
      <c r="AM207" s="52" t="s">
        <v>587</v>
      </c>
      <c r="AN207" s="52" t="s">
        <v>1811</v>
      </c>
      <c r="AO207" s="52" t="s">
        <v>1483</v>
      </c>
      <c r="AP207" s="52">
        <v>17925.0</v>
      </c>
      <c r="AQ207" s="52">
        <v>20925.0</v>
      </c>
      <c r="AR207" s="52" t="s">
        <v>53</v>
      </c>
      <c r="AS207" s="69">
        <v>45695.0</v>
      </c>
      <c r="AT207" s="70">
        <v>46022.0</v>
      </c>
      <c r="AU207" s="69">
        <v>45695.0</v>
      </c>
      <c r="AV207" s="70">
        <v>46022.0</v>
      </c>
      <c r="AW207" s="52" t="s">
        <v>1483</v>
      </c>
      <c r="AX207" s="52" t="s">
        <v>587</v>
      </c>
      <c r="AY207" s="52">
        <v>327.0</v>
      </c>
      <c r="BA207" s="73" t="s">
        <v>3221</v>
      </c>
      <c r="BB207" s="69">
        <v>45695.0</v>
      </c>
      <c r="BC207" s="52" t="s">
        <v>252</v>
      </c>
      <c r="BD207" s="52">
        <v>1.053825946E9</v>
      </c>
      <c r="BE207" s="52" t="s">
        <v>2290</v>
      </c>
      <c r="BF207" s="52" t="s">
        <v>182</v>
      </c>
      <c r="BG207" s="52" t="s">
        <v>2041</v>
      </c>
      <c r="BH207" s="52" t="s">
        <v>839</v>
      </c>
      <c r="BI207" s="52" t="s">
        <v>2805</v>
      </c>
    </row>
    <row r="208">
      <c r="A208" s="52">
        <v>182.0</v>
      </c>
      <c r="B208" s="52" t="s">
        <v>938</v>
      </c>
      <c r="C208" s="52" t="s">
        <v>2005</v>
      </c>
      <c r="D208" s="52">
        <v>1.088300611E9</v>
      </c>
      <c r="E208" s="52" t="s">
        <v>1908</v>
      </c>
      <c r="F208" s="69">
        <v>45693.0</v>
      </c>
      <c r="G208" s="52" t="s">
        <v>940</v>
      </c>
      <c r="H208" s="52" t="s">
        <v>2042</v>
      </c>
      <c r="I208" s="52" t="s">
        <v>2042</v>
      </c>
      <c r="J208" s="52" t="s">
        <v>1478</v>
      </c>
      <c r="K208" s="52" t="s">
        <v>2612</v>
      </c>
      <c r="L208" s="52" t="s">
        <v>2010</v>
      </c>
      <c r="N208" s="52" t="s">
        <v>2010</v>
      </c>
      <c r="O208" s="69">
        <v>45691.0</v>
      </c>
      <c r="P208" s="52">
        <v>2.0251500008683E13</v>
      </c>
      <c r="Q208" s="52" t="s">
        <v>2612</v>
      </c>
      <c r="R208" s="69">
        <v>45692.0</v>
      </c>
      <c r="S208" s="52" t="s">
        <v>3222</v>
      </c>
      <c r="T208" s="52" t="s">
        <v>2013</v>
      </c>
      <c r="U208" s="52" t="s">
        <v>3223</v>
      </c>
      <c r="V208" s="52" t="s">
        <v>581</v>
      </c>
      <c r="W208" s="52" t="s">
        <v>1471</v>
      </c>
      <c r="X208" s="52" t="s">
        <v>1030</v>
      </c>
      <c r="Y208" s="52" t="s">
        <v>939</v>
      </c>
      <c r="Z208" s="52" t="s">
        <v>2015</v>
      </c>
      <c r="AA208" s="52" t="s">
        <v>2016</v>
      </c>
      <c r="AB208" s="52" t="s">
        <v>2032</v>
      </c>
      <c r="AC208" s="52" t="s">
        <v>2033</v>
      </c>
      <c r="AD208" s="52" t="s">
        <v>587</v>
      </c>
      <c r="AE208" s="52" t="s">
        <v>2841</v>
      </c>
      <c r="AF208" s="69">
        <v>33811.0</v>
      </c>
      <c r="AG208" s="52">
        <v>33.0</v>
      </c>
      <c r="AH208" s="52" t="s">
        <v>1744</v>
      </c>
      <c r="AI208" s="52" t="s">
        <v>3224</v>
      </c>
      <c r="AJ208" s="52" t="s">
        <v>3225</v>
      </c>
      <c r="AK208" s="52" t="s">
        <v>2022</v>
      </c>
      <c r="AL208" s="52" t="s">
        <v>1811</v>
      </c>
      <c r="AM208" s="52" t="s">
        <v>587</v>
      </c>
      <c r="AN208" s="52" t="s">
        <v>1811</v>
      </c>
      <c r="AO208" s="52" t="s">
        <v>1483</v>
      </c>
      <c r="AP208" s="52">
        <v>18225.0</v>
      </c>
      <c r="AQ208" s="52">
        <v>20225.0</v>
      </c>
      <c r="AR208" s="52" t="s">
        <v>351</v>
      </c>
      <c r="AS208" s="69">
        <v>45694.0</v>
      </c>
      <c r="AT208" s="70">
        <v>46021.0</v>
      </c>
      <c r="AU208" s="69">
        <v>45694.0</v>
      </c>
      <c r="AV208" s="70">
        <v>46021.0</v>
      </c>
      <c r="AW208" s="52" t="s">
        <v>1483</v>
      </c>
      <c r="AX208" s="52" t="s">
        <v>587</v>
      </c>
      <c r="AY208" s="52">
        <v>327.0</v>
      </c>
      <c r="BA208" s="73" t="s">
        <v>3226</v>
      </c>
      <c r="BB208" s="69">
        <v>45694.0</v>
      </c>
      <c r="BC208" s="52" t="s">
        <v>941</v>
      </c>
      <c r="BD208" s="69">
        <v>2.0500047E7</v>
      </c>
      <c r="BE208" s="52" t="s">
        <v>3227</v>
      </c>
      <c r="BF208" s="52" t="s">
        <v>182</v>
      </c>
      <c r="BG208" s="52" t="s">
        <v>2041</v>
      </c>
      <c r="BH208" s="52" t="s">
        <v>843</v>
      </c>
      <c r="BI208" s="52" t="s">
        <v>2805</v>
      </c>
    </row>
    <row r="209">
      <c r="A209" s="52">
        <v>183.0</v>
      </c>
      <c r="B209" s="52" t="s">
        <v>942</v>
      </c>
      <c r="C209" s="52" t="s">
        <v>2005</v>
      </c>
      <c r="D209" s="52">
        <v>1.033736378E9</v>
      </c>
      <c r="E209" s="52" t="s">
        <v>1908</v>
      </c>
      <c r="F209" s="69">
        <v>45694.0</v>
      </c>
      <c r="G209" s="52" t="s">
        <v>944</v>
      </c>
      <c r="H209" s="52" t="s">
        <v>2042</v>
      </c>
      <c r="I209" s="52" t="s">
        <v>2042</v>
      </c>
      <c r="J209" s="52" t="s">
        <v>1478</v>
      </c>
      <c r="K209" s="52" t="s">
        <v>2612</v>
      </c>
      <c r="L209" s="52" t="s">
        <v>2010</v>
      </c>
      <c r="N209" s="52" t="s">
        <v>2010</v>
      </c>
      <c r="O209" s="69">
        <v>45691.0</v>
      </c>
      <c r="P209" s="52">
        <v>2.0251500008693E13</v>
      </c>
      <c r="Q209" s="52" t="s">
        <v>2612</v>
      </c>
      <c r="R209" s="69">
        <v>45692.0</v>
      </c>
      <c r="S209" s="52" t="s">
        <v>3228</v>
      </c>
      <c r="T209" s="52" t="s">
        <v>2013</v>
      </c>
      <c r="U209" s="52" t="s">
        <v>3229</v>
      </c>
      <c r="V209" s="52" t="s">
        <v>581</v>
      </c>
      <c r="W209" s="52" t="s">
        <v>1471</v>
      </c>
      <c r="X209" s="52" t="s">
        <v>1030</v>
      </c>
      <c r="Y209" s="52" t="s">
        <v>943</v>
      </c>
      <c r="Z209" s="52" t="s">
        <v>2015</v>
      </c>
      <c r="AA209" s="52" t="s">
        <v>2016</v>
      </c>
      <c r="AB209" s="52" t="s">
        <v>2032</v>
      </c>
      <c r="AC209" s="52" t="s">
        <v>2824</v>
      </c>
      <c r="AD209" s="52" t="s">
        <v>587</v>
      </c>
      <c r="AE209" s="52" t="s">
        <v>2019</v>
      </c>
      <c r="AF209" s="69">
        <v>33445.0</v>
      </c>
      <c r="AG209" s="52">
        <v>34.0</v>
      </c>
      <c r="AH209" s="52" t="s">
        <v>1521</v>
      </c>
      <c r="AI209" s="52" t="s">
        <v>3230</v>
      </c>
      <c r="AJ209" s="52" t="s">
        <v>3231</v>
      </c>
      <c r="AK209" s="52" t="s">
        <v>2022</v>
      </c>
      <c r="AL209" s="52">
        <v>8.5482633E7</v>
      </c>
      <c r="AM209" s="52">
        <v>2000000.0</v>
      </c>
      <c r="AN209" s="52" t="s">
        <v>1814</v>
      </c>
      <c r="AO209" s="52" t="s">
        <v>1483</v>
      </c>
      <c r="AP209" s="52">
        <v>18325.0</v>
      </c>
      <c r="AQ209" s="52">
        <v>21625.0</v>
      </c>
      <c r="AR209" s="52" t="s">
        <v>351</v>
      </c>
      <c r="AS209" s="69">
        <v>45695.0</v>
      </c>
      <c r="AT209" s="70">
        <v>46022.0</v>
      </c>
      <c r="AU209" s="69">
        <v>45695.0</v>
      </c>
      <c r="AV209" s="70">
        <v>46022.0</v>
      </c>
      <c r="AW209" s="52" t="s">
        <v>1483</v>
      </c>
      <c r="AX209" s="52" t="s">
        <v>587</v>
      </c>
      <c r="AY209" s="52">
        <v>327.0</v>
      </c>
      <c r="BA209" s="73" t="s">
        <v>3232</v>
      </c>
      <c r="BB209" s="69">
        <v>45695.0</v>
      </c>
      <c r="BC209" s="52" t="s">
        <v>898</v>
      </c>
      <c r="BD209" s="69">
        <v>7718746.0</v>
      </c>
      <c r="BE209" s="52" t="s">
        <v>3168</v>
      </c>
      <c r="BF209" s="52" t="s">
        <v>182</v>
      </c>
      <c r="BG209" s="52" t="s">
        <v>2041</v>
      </c>
      <c r="BH209" s="52" t="s">
        <v>849</v>
      </c>
      <c r="BI209" s="52" t="s">
        <v>2805</v>
      </c>
    </row>
    <row r="210">
      <c r="A210" s="52">
        <v>184.0</v>
      </c>
      <c r="B210" s="52" t="s">
        <v>945</v>
      </c>
      <c r="C210" s="52" t="s">
        <v>2005</v>
      </c>
      <c r="D210" s="52">
        <v>1.022995967E9</v>
      </c>
      <c r="E210" s="52" t="s">
        <v>1908</v>
      </c>
      <c r="F210" s="69">
        <v>45694.0</v>
      </c>
      <c r="G210" s="52" t="s">
        <v>947</v>
      </c>
      <c r="H210" s="52" t="s">
        <v>2042</v>
      </c>
      <c r="I210" s="52" t="s">
        <v>2042</v>
      </c>
      <c r="J210" s="52" t="s">
        <v>1478</v>
      </c>
      <c r="K210" s="52" t="s">
        <v>2213</v>
      </c>
      <c r="L210" s="52" t="s">
        <v>2010</v>
      </c>
      <c r="N210" s="52" t="s">
        <v>2010</v>
      </c>
      <c r="O210" s="69">
        <v>45691.0</v>
      </c>
      <c r="P210" s="52">
        <v>2.0251500008703E13</v>
      </c>
      <c r="Q210" s="52" t="s">
        <v>2213</v>
      </c>
      <c r="R210" s="69">
        <v>45692.0</v>
      </c>
      <c r="S210" s="52" t="s">
        <v>3233</v>
      </c>
      <c r="T210" s="52" t="s">
        <v>2013</v>
      </c>
      <c r="U210" s="52" t="s">
        <v>3234</v>
      </c>
      <c r="V210" s="52" t="s">
        <v>581</v>
      </c>
      <c r="W210" s="52" t="s">
        <v>1471</v>
      </c>
      <c r="X210" s="52" t="s">
        <v>1030</v>
      </c>
      <c r="Y210" s="52" t="s">
        <v>946</v>
      </c>
      <c r="Z210" s="52" t="s">
        <v>2015</v>
      </c>
      <c r="AA210" s="52" t="s">
        <v>2016</v>
      </c>
      <c r="AB210" s="52" t="s">
        <v>2228</v>
      </c>
      <c r="AC210" s="52" t="s">
        <v>2033</v>
      </c>
      <c r="AD210" s="52" t="s">
        <v>587</v>
      </c>
      <c r="AE210" s="52" t="s">
        <v>2019</v>
      </c>
      <c r="AF210" s="69">
        <v>34488.0</v>
      </c>
      <c r="AG210" s="52">
        <v>31.0</v>
      </c>
      <c r="AH210" s="52" t="s">
        <v>1815</v>
      </c>
      <c r="AI210" s="52" t="s">
        <v>3235</v>
      </c>
      <c r="AJ210" s="52" t="s">
        <v>3236</v>
      </c>
      <c r="AK210" s="52" t="s">
        <v>2022</v>
      </c>
      <c r="AL210" s="52" t="s">
        <v>1816</v>
      </c>
      <c r="AM210" s="52" t="s">
        <v>587</v>
      </c>
      <c r="AN210" s="52" t="s">
        <v>1816</v>
      </c>
      <c r="AO210" s="52" t="s">
        <v>1483</v>
      </c>
      <c r="AP210" s="52">
        <v>18825.0</v>
      </c>
      <c r="AQ210" s="52">
        <v>21525.0</v>
      </c>
      <c r="AR210" s="52" t="s">
        <v>53</v>
      </c>
      <c r="AS210" s="69">
        <v>45695.0</v>
      </c>
      <c r="AT210" s="70">
        <v>46022.0</v>
      </c>
      <c r="AU210" s="69">
        <v>45695.0</v>
      </c>
      <c r="AV210" s="70">
        <v>46022.0</v>
      </c>
      <c r="AW210" s="52" t="s">
        <v>1483</v>
      </c>
      <c r="AX210" s="52" t="s">
        <v>587</v>
      </c>
      <c r="AY210" s="52">
        <v>327.0</v>
      </c>
      <c r="BA210" s="73" t="s">
        <v>3237</v>
      </c>
      <c r="BB210" s="69">
        <v>45695.0</v>
      </c>
      <c r="BC210" s="52" t="s">
        <v>252</v>
      </c>
      <c r="BD210" s="52">
        <v>1.053825946E9</v>
      </c>
      <c r="BE210" s="52" t="s">
        <v>2290</v>
      </c>
      <c r="BF210" s="52" t="s">
        <v>182</v>
      </c>
      <c r="BG210" s="52" t="s">
        <v>2041</v>
      </c>
      <c r="BH210" s="52" t="s">
        <v>853</v>
      </c>
      <c r="BI210" s="52" t="s">
        <v>2805</v>
      </c>
    </row>
    <row r="211">
      <c r="A211" s="52">
        <v>185.0</v>
      </c>
      <c r="B211" s="52" t="s">
        <v>948</v>
      </c>
      <c r="C211" s="52" t="s">
        <v>2005</v>
      </c>
      <c r="D211" s="52">
        <v>1.032433564E9</v>
      </c>
      <c r="E211" s="52" t="s">
        <v>1908</v>
      </c>
      <c r="F211" s="69">
        <v>45700.0</v>
      </c>
      <c r="G211" s="52" t="s">
        <v>950</v>
      </c>
      <c r="H211" s="52" t="s">
        <v>2008</v>
      </c>
      <c r="I211" s="52" t="s">
        <v>2008</v>
      </c>
      <c r="J211" s="52" t="s">
        <v>1478</v>
      </c>
      <c r="K211" s="52" t="s">
        <v>2069</v>
      </c>
      <c r="L211" s="52" t="s">
        <v>2010</v>
      </c>
      <c r="N211" s="52" t="s">
        <v>2010</v>
      </c>
      <c r="O211" s="69">
        <v>45691.0</v>
      </c>
      <c r="P211" s="52">
        <v>2.0251610008713E13</v>
      </c>
      <c r="Q211" s="52" t="s">
        <v>2069</v>
      </c>
      <c r="R211" s="69">
        <v>45692.0</v>
      </c>
      <c r="S211" s="52" t="s">
        <v>3238</v>
      </c>
      <c r="T211" s="52" t="s">
        <v>2013</v>
      </c>
      <c r="U211" s="52" t="s">
        <v>3239</v>
      </c>
      <c r="V211" s="52" t="s">
        <v>581</v>
      </c>
      <c r="W211" s="52" t="s">
        <v>1471</v>
      </c>
      <c r="X211" s="52" t="s">
        <v>1030</v>
      </c>
      <c r="Y211" s="52" t="s">
        <v>949</v>
      </c>
      <c r="Z211" s="52" t="s">
        <v>2015</v>
      </c>
      <c r="AA211" s="52" t="s">
        <v>2016</v>
      </c>
      <c r="AB211" s="52" t="s">
        <v>2062</v>
      </c>
      <c r="AC211" s="52" t="s">
        <v>2082</v>
      </c>
      <c r="AD211" s="52" t="s">
        <v>587</v>
      </c>
      <c r="AE211" s="52" t="s">
        <v>3240</v>
      </c>
      <c r="AF211" s="70">
        <v>32791.0</v>
      </c>
      <c r="AG211" s="52">
        <v>36.0</v>
      </c>
      <c r="AH211" s="52" t="s">
        <v>1757</v>
      </c>
      <c r="AI211" s="52" t="s">
        <v>3241</v>
      </c>
      <c r="AJ211" s="52" t="s">
        <v>3242</v>
      </c>
      <c r="AK211" s="52" t="s">
        <v>2022</v>
      </c>
      <c r="AL211" s="52" t="s">
        <v>1817</v>
      </c>
      <c r="AM211" s="52" t="s">
        <v>587</v>
      </c>
      <c r="AN211" s="52" t="s">
        <v>1817</v>
      </c>
      <c r="AO211" s="52" t="s">
        <v>1483</v>
      </c>
      <c r="AP211" s="52">
        <v>20525.0</v>
      </c>
      <c r="AQ211" s="52">
        <v>23725.0</v>
      </c>
      <c r="AR211" s="52" t="s">
        <v>313</v>
      </c>
      <c r="AS211" s="69">
        <v>45701.0</v>
      </c>
      <c r="AT211" s="70">
        <v>46022.0</v>
      </c>
      <c r="AU211" s="69">
        <v>45701.0</v>
      </c>
      <c r="AV211" s="70">
        <v>46022.0</v>
      </c>
      <c r="AW211" s="52" t="s">
        <v>1483</v>
      </c>
      <c r="AX211" s="52" t="s">
        <v>587</v>
      </c>
      <c r="AY211" s="52">
        <v>321.0</v>
      </c>
      <c r="BA211" s="73" t="s">
        <v>3243</v>
      </c>
      <c r="BB211" s="69">
        <v>45701.0</v>
      </c>
      <c r="BC211" s="52" t="s">
        <v>557</v>
      </c>
      <c r="BD211" s="52">
        <v>7.9954284E7</v>
      </c>
      <c r="BE211" s="52" t="s">
        <v>2694</v>
      </c>
      <c r="BF211" s="52" t="s">
        <v>165</v>
      </c>
      <c r="BG211" s="52" t="s">
        <v>2041</v>
      </c>
      <c r="BH211" s="52" t="s">
        <v>859</v>
      </c>
    </row>
    <row r="212">
      <c r="B212" s="52" t="s">
        <v>2805</v>
      </c>
    </row>
    <row r="213">
      <c r="A213" s="52">
        <v>186.0</v>
      </c>
      <c r="B213" s="52" t="s">
        <v>951</v>
      </c>
      <c r="C213" s="52" t="s">
        <v>2005</v>
      </c>
      <c r="D213" s="52">
        <v>8.085303E7</v>
      </c>
      <c r="E213" s="52" t="s">
        <v>1908</v>
      </c>
      <c r="F213" s="69">
        <v>45693.0</v>
      </c>
      <c r="G213" s="52" t="s">
        <v>953</v>
      </c>
      <c r="H213" s="52" t="s">
        <v>2042</v>
      </c>
      <c r="I213" s="52" t="s">
        <v>2042</v>
      </c>
      <c r="J213" s="52" t="s">
        <v>1478</v>
      </c>
      <c r="K213" s="52" t="s">
        <v>2213</v>
      </c>
      <c r="L213" s="52" t="s">
        <v>2010</v>
      </c>
      <c r="N213" s="52" t="s">
        <v>2010</v>
      </c>
      <c r="O213" s="69">
        <v>45691.0</v>
      </c>
      <c r="P213" s="52">
        <v>2.0251500008723E13</v>
      </c>
      <c r="Q213" s="52" t="s">
        <v>2213</v>
      </c>
      <c r="R213" s="69">
        <v>45692.0</v>
      </c>
      <c r="S213" s="52" t="s">
        <v>3244</v>
      </c>
      <c r="T213" s="52" t="s">
        <v>2013</v>
      </c>
      <c r="U213" s="52" t="s">
        <v>3245</v>
      </c>
      <c r="V213" s="52" t="s">
        <v>581</v>
      </c>
      <c r="W213" s="52" t="s">
        <v>1471</v>
      </c>
      <c r="X213" s="52" t="s">
        <v>1030</v>
      </c>
      <c r="Y213" s="52" t="s">
        <v>952</v>
      </c>
      <c r="Z213" s="52" t="s">
        <v>2081</v>
      </c>
      <c r="AA213" s="52" t="s">
        <v>2016</v>
      </c>
      <c r="AB213" s="52" t="s">
        <v>2062</v>
      </c>
      <c r="AC213" s="52" t="s">
        <v>2033</v>
      </c>
      <c r="AD213" s="52" t="s">
        <v>587</v>
      </c>
      <c r="AE213" s="52" t="s">
        <v>2019</v>
      </c>
      <c r="AF213" s="69">
        <v>31196.0</v>
      </c>
      <c r="AG213" s="52">
        <v>40.0</v>
      </c>
      <c r="AH213" s="52" t="s">
        <v>3246</v>
      </c>
      <c r="AI213" s="52" t="s">
        <v>3247</v>
      </c>
      <c r="AJ213" s="52" t="s">
        <v>3248</v>
      </c>
      <c r="AK213" s="52" t="s">
        <v>2022</v>
      </c>
      <c r="AL213" s="52" t="s">
        <v>1766</v>
      </c>
      <c r="AM213" s="52" t="s">
        <v>587</v>
      </c>
      <c r="AN213" s="52" t="s">
        <v>1766</v>
      </c>
      <c r="AO213" s="52" t="s">
        <v>1483</v>
      </c>
      <c r="AP213" s="52">
        <v>19025.0</v>
      </c>
      <c r="AQ213" s="52">
        <v>19825.0</v>
      </c>
      <c r="AR213" s="52" t="s">
        <v>53</v>
      </c>
      <c r="AS213" s="69">
        <v>45694.0</v>
      </c>
      <c r="AT213" s="70">
        <v>46021.0</v>
      </c>
      <c r="AU213" s="69">
        <v>45694.0</v>
      </c>
      <c r="AV213" s="70">
        <v>46021.0</v>
      </c>
      <c r="AW213" s="52" t="s">
        <v>1483</v>
      </c>
      <c r="AX213" s="52" t="s">
        <v>587</v>
      </c>
      <c r="AY213" s="52">
        <v>327.0</v>
      </c>
      <c r="BA213" s="73" t="s">
        <v>3249</v>
      </c>
      <c r="BB213" s="69">
        <v>45694.0</v>
      </c>
      <c r="BC213" s="52" t="s">
        <v>774</v>
      </c>
      <c r="BD213" s="52">
        <v>5.306585E7</v>
      </c>
      <c r="BE213" s="52" t="s">
        <v>2220</v>
      </c>
      <c r="BF213" s="52" t="s">
        <v>182</v>
      </c>
      <c r="BG213" s="52" t="s">
        <v>2041</v>
      </c>
      <c r="BH213" s="52" t="s">
        <v>865</v>
      </c>
      <c r="BI213" s="52" t="s">
        <v>2805</v>
      </c>
    </row>
    <row r="214">
      <c r="A214" s="52">
        <v>187.0</v>
      </c>
      <c r="B214" s="52" t="s">
        <v>954</v>
      </c>
      <c r="C214" s="52" t="s">
        <v>2005</v>
      </c>
      <c r="D214" s="52">
        <v>1.019038567E9</v>
      </c>
      <c r="E214" s="52" t="s">
        <v>1908</v>
      </c>
      <c r="F214" s="69">
        <v>45693.0</v>
      </c>
      <c r="G214" s="52" t="s">
        <v>956</v>
      </c>
      <c r="H214" s="52" t="s">
        <v>2042</v>
      </c>
      <c r="I214" s="52" t="s">
        <v>2042</v>
      </c>
      <c r="J214" s="52" t="s">
        <v>1478</v>
      </c>
      <c r="K214" s="52" t="s">
        <v>2213</v>
      </c>
      <c r="L214" s="52" t="s">
        <v>2010</v>
      </c>
      <c r="N214" s="52" t="s">
        <v>2010</v>
      </c>
      <c r="O214" s="69">
        <v>45691.0</v>
      </c>
      <c r="P214" s="52">
        <v>2.0251500008783E13</v>
      </c>
      <c r="Q214" s="52" t="s">
        <v>2213</v>
      </c>
      <c r="R214" s="69">
        <v>45692.0</v>
      </c>
      <c r="S214" s="52" t="s">
        <v>3250</v>
      </c>
      <c r="T214" s="52" t="s">
        <v>2013</v>
      </c>
      <c r="U214" s="52" t="s">
        <v>3251</v>
      </c>
      <c r="V214" s="52" t="s">
        <v>581</v>
      </c>
      <c r="W214" s="52" t="s">
        <v>1471</v>
      </c>
      <c r="X214" s="52" t="s">
        <v>781</v>
      </c>
      <c r="Y214" s="52" t="s">
        <v>955</v>
      </c>
      <c r="Z214" s="52" t="s">
        <v>2015</v>
      </c>
      <c r="AA214" s="52" t="s">
        <v>2016</v>
      </c>
      <c r="AB214" s="52" t="s">
        <v>2017</v>
      </c>
      <c r="AC214" s="52" t="s">
        <v>2824</v>
      </c>
      <c r="AD214" s="52" t="s">
        <v>587</v>
      </c>
      <c r="AE214" s="52" t="s">
        <v>2019</v>
      </c>
      <c r="AF214" s="70">
        <v>32795.0</v>
      </c>
      <c r="AG214" s="52">
        <v>36.0</v>
      </c>
      <c r="AH214" s="52" t="s">
        <v>1521</v>
      </c>
      <c r="AI214" s="52" t="s">
        <v>2850</v>
      </c>
      <c r="AJ214" s="52" t="s">
        <v>3252</v>
      </c>
      <c r="AK214" s="52" t="s">
        <v>2022</v>
      </c>
      <c r="AL214" s="52" t="s">
        <v>1818</v>
      </c>
      <c r="AM214" s="52" t="s">
        <v>587</v>
      </c>
      <c r="AN214" s="52" t="s">
        <v>1818</v>
      </c>
      <c r="AO214" s="52" t="s">
        <v>1483</v>
      </c>
      <c r="AP214" s="52">
        <v>19125.0</v>
      </c>
      <c r="AQ214" s="52">
        <v>20125.0</v>
      </c>
      <c r="AR214" s="52" t="s">
        <v>351</v>
      </c>
      <c r="AS214" s="69">
        <v>45694.0</v>
      </c>
      <c r="AT214" s="69">
        <v>45832.0</v>
      </c>
      <c r="AU214" s="69">
        <v>45694.0</v>
      </c>
      <c r="AV214" s="69">
        <v>45832.0</v>
      </c>
      <c r="AW214" s="52" t="s">
        <v>1483</v>
      </c>
      <c r="AX214" s="52" t="s">
        <v>587</v>
      </c>
      <c r="AY214" s="52">
        <v>138.0</v>
      </c>
      <c r="BA214" s="73" t="s">
        <v>2852</v>
      </c>
      <c r="BB214" s="69">
        <v>45694.0</v>
      </c>
      <c r="BC214" s="52" t="s">
        <v>352</v>
      </c>
      <c r="BD214" s="52">
        <v>1.010166597E9</v>
      </c>
      <c r="BE214" s="52" t="s">
        <v>2426</v>
      </c>
      <c r="BF214" s="52" t="s">
        <v>182</v>
      </c>
      <c r="BG214" s="52" t="s">
        <v>2041</v>
      </c>
      <c r="BH214" s="52" t="s">
        <v>870</v>
      </c>
      <c r="BI214" s="52" t="s">
        <v>2805</v>
      </c>
    </row>
    <row r="215">
      <c r="A215" s="52">
        <v>188.0</v>
      </c>
      <c r="B215" s="52" t="s">
        <v>957</v>
      </c>
      <c r="C215" s="52" t="s">
        <v>2005</v>
      </c>
      <c r="D215" s="52">
        <v>1.233693111E9</v>
      </c>
      <c r="E215" s="52" t="s">
        <v>1908</v>
      </c>
      <c r="F215" s="69">
        <v>45693.0</v>
      </c>
      <c r="G215" s="52" t="s">
        <v>959</v>
      </c>
      <c r="H215" s="52" t="s">
        <v>2008</v>
      </c>
      <c r="I215" s="52" t="s">
        <v>2008</v>
      </c>
      <c r="J215" s="52" t="s">
        <v>1478</v>
      </c>
      <c r="K215" s="52" t="s">
        <v>2098</v>
      </c>
      <c r="L215" s="52" t="s">
        <v>2010</v>
      </c>
      <c r="N215" s="52" t="s">
        <v>2010</v>
      </c>
      <c r="O215" s="69">
        <v>45692.0</v>
      </c>
      <c r="P215" s="52">
        <v>2.0251610009093E13</v>
      </c>
      <c r="Q215" s="52" t="s">
        <v>2098</v>
      </c>
      <c r="R215" s="69">
        <v>45692.0</v>
      </c>
      <c r="S215" s="52" t="s">
        <v>3253</v>
      </c>
      <c r="T215" s="52" t="s">
        <v>2013</v>
      </c>
      <c r="U215" s="52" t="s">
        <v>3254</v>
      </c>
      <c r="V215" s="52" t="s">
        <v>581</v>
      </c>
      <c r="W215" s="52" t="s">
        <v>1471</v>
      </c>
      <c r="X215" s="52" t="s">
        <v>1030</v>
      </c>
      <c r="Y215" s="52" t="s">
        <v>958</v>
      </c>
      <c r="Z215" s="52" t="s">
        <v>2015</v>
      </c>
      <c r="AA215" s="52" t="s">
        <v>2016</v>
      </c>
      <c r="AB215" s="52" t="s">
        <v>2062</v>
      </c>
      <c r="AC215" s="52" t="s">
        <v>2114</v>
      </c>
      <c r="AD215" s="52" t="s">
        <v>587</v>
      </c>
      <c r="AE215" s="52" t="s">
        <v>2019</v>
      </c>
      <c r="AF215" s="69">
        <v>36176.0</v>
      </c>
      <c r="AG215" s="52">
        <v>26.0</v>
      </c>
      <c r="AH215" s="52" t="s">
        <v>1577</v>
      </c>
      <c r="AI215" s="52" t="s">
        <v>3255</v>
      </c>
      <c r="AJ215" s="52" t="s">
        <v>3256</v>
      </c>
      <c r="AK215" s="52" t="s">
        <v>2022</v>
      </c>
      <c r="AL215" s="52" t="s">
        <v>1820</v>
      </c>
      <c r="AM215" s="52" t="s">
        <v>587</v>
      </c>
      <c r="AN215" s="52" t="s">
        <v>1820</v>
      </c>
      <c r="AO215" s="52" t="s">
        <v>1483</v>
      </c>
      <c r="AP215" s="52">
        <v>20225.0</v>
      </c>
      <c r="AQ215" s="52">
        <v>19925.0</v>
      </c>
      <c r="AR215" s="52" t="s">
        <v>313</v>
      </c>
      <c r="AS215" s="69">
        <v>45694.0</v>
      </c>
      <c r="AT215" s="70">
        <v>46021.0</v>
      </c>
      <c r="AU215" s="69">
        <v>45694.0</v>
      </c>
      <c r="AV215" s="70">
        <v>46021.0</v>
      </c>
      <c r="AW215" s="52" t="s">
        <v>1483</v>
      </c>
      <c r="AX215" s="52" t="s">
        <v>587</v>
      </c>
      <c r="AY215" s="52">
        <v>327.0</v>
      </c>
      <c r="BA215" s="73" t="s">
        <v>3257</v>
      </c>
      <c r="BB215" s="69">
        <v>45694.0</v>
      </c>
      <c r="BC215" s="52" t="s">
        <v>289</v>
      </c>
      <c r="BD215" s="52">
        <v>5.2170568E7</v>
      </c>
      <c r="BE215" s="52" t="s">
        <v>2342</v>
      </c>
      <c r="BF215" s="52" t="s">
        <v>165</v>
      </c>
      <c r="BG215" s="52" t="s">
        <v>2041</v>
      </c>
      <c r="BH215" s="52" t="s">
        <v>875</v>
      </c>
      <c r="BI215" s="52" t="s">
        <v>2805</v>
      </c>
    </row>
    <row r="216">
      <c r="A216" s="52">
        <v>189.0</v>
      </c>
      <c r="B216" s="52" t="s">
        <v>960</v>
      </c>
      <c r="C216" s="52" t="s">
        <v>2005</v>
      </c>
      <c r="D216" s="52">
        <v>1.010210361E9</v>
      </c>
      <c r="E216" s="52" t="s">
        <v>1908</v>
      </c>
      <c r="F216" s="69">
        <v>45694.0</v>
      </c>
      <c r="G216" s="52" t="s">
        <v>962</v>
      </c>
      <c r="H216" s="52" t="s">
        <v>2042</v>
      </c>
      <c r="I216" s="52" t="s">
        <v>2042</v>
      </c>
      <c r="J216" s="52" t="s">
        <v>1478</v>
      </c>
      <c r="K216" s="52" t="s">
        <v>2612</v>
      </c>
      <c r="L216" s="52" t="s">
        <v>2010</v>
      </c>
      <c r="N216" s="52" t="s">
        <v>2010</v>
      </c>
      <c r="O216" s="69">
        <v>45692.0</v>
      </c>
      <c r="P216" s="52">
        <v>2.0251500009103E13</v>
      </c>
      <c r="Q216" s="52" t="s">
        <v>2612</v>
      </c>
      <c r="R216" s="69">
        <v>45692.0</v>
      </c>
      <c r="S216" s="52" t="s">
        <v>3258</v>
      </c>
      <c r="T216" s="52" t="s">
        <v>2013</v>
      </c>
      <c r="U216" s="52" t="s">
        <v>3259</v>
      </c>
      <c r="V216" s="52" t="s">
        <v>581</v>
      </c>
      <c r="W216" s="52" t="s">
        <v>1471</v>
      </c>
      <c r="X216" s="52" t="s">
        <v>1030</v>
      </c>
      <c r="Y216" s="52" t="s">
        <v>961</v>
      </c>
      <c r="Z216" s="52" t="s">
        <v>2081</v>
      </c>
      <c r="AA216" s="52" t="s">
        <v>2016</v>
      </c>
      <c r="AB216" s="52" t="s">
        <v>2062</v>
      </c>
      <c r="AC216" s="52" t="s">
        <v>2054</v>
      </c>
      <c r="AD216" s="52" t="s">
        <v>587</v>
      </c>
      <c r="AE216" s="52" t="s">
        <v>2019</v>
      </c>
      <c r="AF216" s="69">
        <v>34204.0</v>
      </c>
      <c r="AG216" s="52">
        <v>32.0</v>
      </c>
      <c r="AH216" s="52" t="s">
        <v>1521</v>
      </c>
      <c r="AI216" s="52" t="s">
        <v>3260</v>
      </c>
      <c r="AJ216" s="52" t="s">
        <v>3261</v>
      </c>
      <c r="AK216" s="52" t="s">
        <v>2022</v>
      </c>
      <c r="AL216" s="52" t="s">
        <v>1821</v>
      </c>
      <c r="AM216" s="52" t="s">
        <v>587</v>
      </c>
      <c r="AN216" s="52" t="s">
        <v>1821</v>
      </c>
      <c r="AO216" s="52" t="s">
        <v>1483</v>
      </c>
      <c r="AP216" s="52">
        <v>18725.0</v>
      </c>
      <c r="AQ216" s="52">
        <v>21325.0</v>
      </c>
      <c r="AR216" s="52" t="s">
        <v>53</v>
      </c>
      <c r="AS216" s="69">
        <v>45695.0</v>
      </c>
      <c r="AT216" s="70">
        <v>46022.0</v>
      </c>
      <c r="AU216" s="69">
        <v>45695.0</v>
      </c>
      <c r="AV216" s="70">
        <v>46022.0</v>
      </c>
      <c r="AW216" s="52" t="s">
        <v>1483</v>
      </c>
      <c r="AX216" s="52" t="s">
        <v>587</v>
      </c>
      <c r="AY216" s="52">
        <v>327.0</v>
      </c>
      <c r="BA216" s="73" t="s">
        <v>3262</v>
      </c>
      <c r="BB216" s="69">
        <v>45695.0</v>
      </c>
      <c r="BC216" s="52" t="s">
        <v>252</v>
      </c>
      <c r="BD216" s="52">
        <v>1.053825946E9</v>
      </c>
      <c r="BE216" s="52" t="s">
        <v>2290</v>
      </c>
      <c r="BF216" s="52" t="s">
        <v>182</v>
      </c>
      <c r="BG216" s="52" t="s">
        <v>2041</v>
      </c>
      <c r="BH216" s="52" t="s">
        <v>879</v>
      </c>
      <c r="BI216" s="52" t="s">
        <v>2805</v>
      </c>
    </row>
    <row r="217">
      <c r="A217" s="52">
        <v>190.0</v>
      </c>
      <c r="B217" s="52" t="s">
        <v>963</v>
      </c>
      <c r="C217" s="52" t="s">
        <v>2005</v>
      </c>
      <c r="D217" s="52">
        <v>1.001185909E9</v>
      </c>
      <c r="E217" s="52" t="s">
        <v>1908</v>
      </c>
      <c r="F217" s="69">
        <v>45694.0</v>
      </c>
      <c r="G217" s="52" t="s">
        <v>965</v>
      </c>
      <c r="H217" s="52" t="s">
        <v>2042</v>
      </c>
      <c r="I217" s="52" t="s">
        <v>2042</v>
      </c>
      <c r="J217" s="52" t="s">
        <v>1478</v>
      </c>
      <c r="K217" s="52" t="s">
        <v>2612</v>
      </c>
      <c r="L217" s="52" t="s">
        <v>2010</v>
      </c>
      <c r="N217" s="52" t="s">
        <v>2010</v>
      </c>
      <c r="O217" s="69">
        <v>45692.0</v>
      </c>
      <c r="P217" s="52">
        <v>2.0251500009073E13</v>
      </c>
      <c r="Q217" s="52" t="s">
        <v>2612</v>
      </c>
      <c r="R217" s="69">
        <v>45692.0</v>
      </c>
      <c r="S217" s="52" t="s">
        <v>3263</v>
      </c>
      <c r="T217" s="52" t="s">
        <v>2013</v>
      </c>
      <c r="U217" s="52" t="s">
        <v>3264</v>
      </c>
      <c r="V217" s="52" t="s">
        <v>581</v>
      </c>
      <c r="W217" s="52" t="s">
        <v>1471</v>
      </c>
      <c r="X217" s="52" t="s">
        <v>1030</v>
      </c>
      <c r="Y217" s="52" t="s">
        <v>964</v>
      </c>
      <c r="Z217" s="52" t="s">
        <v>2081</v>
      </c>
      <c r="AA217" s="52" t="s">
        <v>2016</v>
      </c>
      <c r="AB217" s="52" t="s">
        <v>2062</v>
      </c>
      <c r="AC217" s="52" t="s">
        <v>2082</v>
      </c>
      <c r="AD217" s="52" t="s">
        <v>587</v>
      </c>
      <c r="AE217" s="52" t="s">
        <v>2019</v>
      </c>
      <c r="AF217" s="69">
        <v>37265.0</v>
      </c>
      <c r="AG217" s="52">
        <v>23.0</v>
      </c>
      <c r="AH217" s="52" t="s">
        <v>1526</v>
      </c>
      <c r="AI217" s="52" t="s">
        <v>3265</v>
      </c>
      <c r="AJ217" s="52" t="s">
        <v>3266</v>
      </c>
      <c r="AK217" s="52" t="s">
        <v>2022</v>
      </c>
      <c r="AL217" s="52" t="s">
        <v>1822</v>
      </c>
      <c r="AM217" s="52" t="s">
        <v>587</v>
      </c>
      <c r="AN217" s="52" t="s">
        <v>1822</v>
      </c>
      <c r="AO217" s="52" t="s">
        <v>1483</v>
      </c>
      <c r="AP217" s="52">
        <v>18625.0</v>
      </c>
      <c r="AQ217" s="52">
        <v>21825.0</v>
      </c>
      <c r="AR217" s="52" t="s">
        <v>53</v>
      </c>
      <c r="AS217" s="69">
        <v>45695.0</v>
      </c>
      <c r="AT217" s="70">
        <v>46022.0</v>
      </c>
      <c r="AU217" s="69">
        <v>45695.0</v>
      </c>
      <c r="AV217" s="70">
        <v>46022.0</v>
      </c>
      <c r="AW217" s="52" t="s">
        <v>1483</v>
      </c>
      <c r="AX217" s="52" t="s">
        <v>587</v>
      </c>
      <c r="AY217" s="52">
        <v>327.0</v>
      </c>
      <c r="BA217" s="73" t="s">
        <v>3267</v>
      </c>
      <c r="BB217" s="69">
        <v>45695.0</v>
      </c>
      <c r="BC217" s="52" t="s">
        <v>966</v>
      </c>
      <c r="BD217" s="52">
        <v>1.073691668E9</v>
      </c>
      <c r="BE217" s="52" t="s">
        <v>3268</v>
      </c>
      <c r="BF217" s="52" t="s">
        <v>182</v>
      </c>
      <c r="BG217" s="52" t="s">
        <v>2041</v>
      </c>
      <c r="BH217" s="52" t="s">
        <v>882</v>
      </c>
      <c r="BI217" s="52" t="s">
        <v>2805</v>
      </c>
    </row>
    <row r="218">
      <c r="A218" s="52">
        <v>191.0</v>
      </c>
      <c r="B218" s="52" t="s">
        <v>967</v>
      </c>
      <c r="C218" s="52" t="s">
        <v>2005</v>
      </c>
      <c r="D218" s="52">
        <v>1.049640327E9</v>
      </c>
      <c r="E218" s="52" t="s">
        <v>1908</v>
      </c>
      <c r="F218" s="69">
        <v>45694.0</v>
      </c>
      <c r="G218" s="52" t="s">
        <v>969</v>
      </c>
      <c r="H218" s="52" t="s">
        <v>2042</v>
      </c>
      <c r="I218" s="52" t="s">
        <v>2042</v>
      </c>
      <c r="J218" s="52" t="s">
        <v>1478</v>
      </c>
      <c r="K218" s="52" t="s">
        <v>2612</v>
      </c>
      <c r="L218" s="52" t="s">
        <v>2010</v>
      </c>
      <c r="N218" s="52" t="s">
        <v>2010</v>
      </c>
      <c r="O218" s="69">
        <v>45692.0</v>
      </c>
      <c r="P218" s="52">
        <v>2.0251500008983E13</v>
      </c>
      <c r="Q218" s="52" t="s">
        <v>2612</v>
      </c>
      <c r="R218" s="69">
        <v>45692.0</v>
      </c>
      <c r="S218" s="52" t="s">
        <v>3269</v>
      </c>
      <c r="T218" s="52" t="s">
        <v>2013</v>
      </c>
      <c r="U218" s="52" t="s">
        <v>3270</v>
      </c>
      <c r="V218" s="52" t="s">
        <v>581</v>
      </c>
      <c r="W218" s="52" t="s">
        <v>1471</v>
      </c>
      <c r="X218" s="52" t="s">
        <v>781</v>
      </c>
      <c r="Y218" s="52" t="s">
        <v>968</v>
      </c>
      <c r="Z218" s="52" t="s">
        <v>2015</v>
      </c>
      <c r="AA218" s="52" t="s">
        <v>2054</v>
      </c>
      <c r="AB218" s="52" t="s">
        <v>2017</v>
      </c>
      <c r="AC218" s="52" t="s">
        <v>2033</v>
      </c>
      <c r="AD218" s="52" t="s">
        <v>587</v>
      </c>
      <c r="AE218" s="52" t="s">
        <v>3271</v>
      </c>
      <c r="AF218" s="70">
        <v>34692.0</v>
      </c>
      <c r="AG218" s="52">
        <v>31.0</v>
      </c>
      <c r="AH218" s="52" t="s">
        <v>1823</v>
      </c>
      <c r="AI218" s="52" t="s">
        <v>3272</v>
      </c>
      <c r="AJ218" s="52" t="s">
        <v>3273</v>
      </c>
      <c r="AK218" s="52" t="s">
        <v>2022</v>
      </c>
      <c r="AL218" s="52" t="s">
        <v>1824</v>
      </c>
      <c r="AM218" s="52" t="s">
        <v>587</v>
      </c>
      <c r="AN218" s="52" t="s">
        <v>1824</v>
      </c>
      <c r="AO218" s="52" t="s">
        <v>1483</v>
      </c>
      <c r="AP218" s="52">
        <v>18825.0</v>
      </c>
      <c r="AQ218" s="52">
        <v>21725.0</v>
      </c>
      <c r="AR218" s="52" t="s">
        <v>53</v>
      </c>
      <c r="AS218" s="69">
        <v>45695.0</v>
      </c>
      <c r="AT218" s="70">
        <v>46022.0</v>
      </c>
      <c r="AU218" s="69">
        <v>45695.0</v>
      </c>
      <c r="AV218" s="70">
        <v>46022.0</v>
      </c>
      <c r="AW218" s="52" t="s">
        <v>1483</v>
      </c>
      <c r="AX218" s="52" t="s">
        <v>587</v>
      </c>
      <c r="AY218" s="52">
        <v>327.0</v>
      </c>
      <c r="BA218" s="73" t="s">
        <v>3274</v>
      </c>
      <c r="BB218" s="69">
        <v>45695.0</v>
      </c>
      <c r="BC218" s="52" t="s">
        <v>352</v>
      </c>
      <c r="BD218" s="52">
        <v>1.010166597E9</v>
      </c>
      <c r="BE218" s="52" t="s">
        <v>2426</v>
      </c>
      <c r="BF218" s="52" t="s">
        <v>182</v>
      </c>
      <c r="BG218" s="52" t="s">
        <v>2041</v>
      </c>
      <c r="BH218" s="52" t="s">
        <v>886</v>
      </c>
      <c r="BI218" s="52" t="s">
        <v>2805</v>
      </c>
    </row>
    <row r="219">
      <c r="A219" s="52">
        <v>192.0</v>
      </c>
      <c r="B219" s="52" t="s">
        <v>970</v>
      </c>
      <c r="C219" s="52" t="s">
        <v>2005</v>
      </c>
      <c r="D219" s="52">
        <v>1.010198057E9</v>
      </c>
      <c r="E219" s="52" t="s">
        <v>1908</v>
      </c>
      <c r="F219" s="69">
        <v>45694.0</v>
      </c>
      <c r="G219" s="52" t="s">
        <v>972</v>
      </c>
      <c r="H219" s="52" t="s">
        <v>2042</v>
      </c>
      <c r="I219" s="52" t="s">
        <v>2042</v>
      </c>
      <c r="J219" s="52" t="s">
        <v>1478</v>
      </c>
      <c r="K219" s="52" t="s">
        <v>2612</v>
      </c>
      <c r="L219" s="52" t="s">
        <v>2010</v>
      </c>
      <c r="N219" s="52" t="s">
        <v>2010</v>
      </c>
      <c r="O219" s="69">
        <v>45692.0</v>
      </c>
      <c r="P219" s="52">
        <v>2.0251500008973E13</v>
      </c>
      <c r="Q219" s="52" t="s">
        <v>2612</v>
      </c>
      <c r="R219" s="69">
        <v>45692.0</v>
      </c>
      <c r="S219" s="52" t="s">
        <v>3275</v>
      </c>
      <c r="T219" s="52" t="s">
        <v>2013</v>
      </c>
      <c r="U219" s="52" t="s">
        <v>3276</v>
      </c>
      <c r="V219" s="52" t="s">
        <v>581</v>
      </c>
      <c r="W219" s="52" t="s">
        <v>1471</v>
      </c>
      <c r="X219" s="52" t="s">
        <v>781</v>
      </c>
      <c r="Y219" s="52" t="s">
        <v>971</v>
      </c>
      <c r="Z219" s="52" t="s">
        <v>2081</v>
      </c>
      <c r="AA219" s="52" t="s">
        <v>2016</v>
      </c>
      <c r="AB219" s="52" t="s">
        <v>2017</v>
      </c>
      <c r="AC219" s="52" t="s">
        <v>2018</v>
      </c>
      <c r="AD219" s="52" t="s">
        <v>587</v>
      </c>
      <c r="AE219" s="52" t="s">
        <v>3277</v>
      </c>
      <c r="AF219" s="69">
        <v>33387.0</v>
      </c>
      <c r="AG219" s="52">
        <v>34.0</v>
      </c>
      <c r="AH219" s="52" t="s">
        <v>1526</v>
      </c>
      <c r="AI219" s="52" t="s">
        <v>3278</v>
      </c>
      <c r="AJ219" s="52" t="s">
        <v>3279</v>
      </c>
      <c r="AK219" s="52" t="s">
        <v>2022</v>
      </c>
      <c r="AL219" s="52" t="s">
        <v>1824</v>
      </c>
      <c r="AM219" s="52" t="s">
        <v>587</v>
      </c>
      <c r="AN219" s="52" t="s">
        <v>1824</v>
      </c>
      <c r="AO219" s="52" t="s">
        <v>1483</v>
      </c>
      <c r="AP219" s="52">
        <v>18925.0</v>
      </c>
      <c r="AQ219" s="52">
        <v>18925.0</v>
      </c>
      <c r="AR219" s="52" t="s">
        <v>53</v>
      </c>
      <c r="AS219" s="69">
        <v>45698.0</v>
      </c>
      <c r="AT219" s="70">
        <v>46022.0</v>
      </c>
      <c r="AU219" s="69">
        <v>45698.0</v>
      </c>
      <c r="AV219" s="70">
        <v>46022.0</v>
      </c>
      <c r="AW219" s="52" t="s">
        <v>1483</v>
      </c>
      <c r="AX219" s="52" t="s">
        <v>587</v>
      </c>
      <c r="AY219" s="52">
        <v>324.0</v>
      </c>
      <c r="BA219" s="73" t="s">
        <v>3280</v>
      </c>
      <c r="BB219" s="69">
        <v>45698.0</v>
      </c>
      <c r="BC219" s="52" t="s">
        <v>973</v>
      </c>
      <c r="BD219" s="52">
        <v>7.3154558E7</v>
      </c>
      <c r="BE219" s="52" t="s">
        <v>3281</v>
      </c>
      <c r="BF219" s="52" t="s">
        <v>182</v>
      </c>
      <c r="BG219" s="52" t="s">
        <v>2041</v>
      </c>
      <c r="BH219" s="52" t="s">
        <v>890</v>
      </c>
      <c r="BI219" s="52" t="s">
        <v>2805</v>
      </c>
    </row>
    <row r="220">
      <c r="A220" s="52">
        <v>193.0</v>
      </c>
      <c r="B220" s="52" t="s">
        <v>974</v>
      </c>
      <c r="C220" s="52" t="s">
        <v>2005</v>
      </c>
      <c r="D220" s="52">
        <v>1.070918327E9</v>
      </c>
      <c r="E220" s="52" t="s">
        <v>1908</v>
      </c>
      <c r="F220" s="69">
        <v>45694.0</v>
      </c>
      <c r="G220" s="52" t="s">
        <v>976</v>
      </c>
      <c r="H220" s="52" t="s">
        <v>2042</v>
      </c>
      <c r="I220" s="52" t="s">
        <v>2042</v>
      </c>
      <c r="J220" s="52" t="s">
        <v>1478</v>
      </c>
      <c r="K220" s="52" t="s">
        <v>2612</v>
      </c>
      <c r="L220" s="52" t="s">
        <v>2010</v>
      </c>
      <c r="N220" s="52" t="s">
        <v>2010</v>
      </c>
      <c r="O220" s="69">
        <v>45692.0</v>
      </c>
      <c r="P220" s="52">
        <v>2.0251500008943E13</v>
      </c>
      <c r="Q220" s="52" t="s">
        <v>2612</v>
      </c>
      <c r="R220" s="69">
        <v>45692.0</v>
      </c>
      <c r="S220" s="52" t="s">
        <v>3282</v>
      </c>
      <c r="T220" s="52" t="s">
        <v>2013</v>
      </c>
      <c r="U220" s="52" t="s">
        <v>3283</v>
      </c>
      <c r="V220" s="52" t="s">
        <v>581</v>
      </c>
      <c r="W220" s="52" t="s">
        <v>1471</v>
      </c>
      <c r="X220" s="52" t="s">
        <v>1030</v>
      </c>
      <c r="Y220" s="52" t="s">
        <v>975</v>
      </c>
      <c r="Z220" s="52" t="s">
        <v>2081</v>
      </c>
      <c r="AA220" s="52" t="s">
        <v>2016</v>
      </c>
      <c r="AB220" s="52" t="s">
        <v>2032</v>
      </c>
      <c r="AC220" s="52" t="s">
        <v>2824</v>
      </c>
      <c r="AD220" s="52" t="s">
        <v>587</v>
      </c>
      <c r="AE220" s="52" t="s">
        <v>2019</v>
      </c>
      <c r="AF220" s="69">
        <v>32674.0</v>
      </c>
      <c r="AG220" s="52">
        <v>36.0</v>
      </c>
      <c r="AH220" s="52" t="s">
        <v>1825</v>
      </c>
      <c r="AI220" s="52" t="s">
        <v>3284</v>
      </c>
      <c r="AJ220" s="52" t="s">
        <v>3285</v>
      </c>
      <c r="AK220" s="52" t="s">
        <v>2022</v>
      </c>
      <c r="AL220" s="52" t="s">
        <v>1811</v>
      </c>
      <c r="AM220" s="52" t="s">
        <v>587</v>
      </c>
      <c r="AN220" s="52" t="s">
        <v>1811</v>
      </c>
      <c r="AO220" s="52" t="s">
        <v>1483</v>
      </c>
      <c r="AP220" s="52">
        <v>18425.0</v>
      </c>
      <c r="AQ220" s="52">
        <v>21125.0</v>
      </c>
      <c r="AR220" s="52" t="s">
        <v>351</v>
      </c>
      <c r="AS220" s="69">
        <v>45695.0</v>
      </c>
      <c r="AT220" s="70">
        <v>46022.0</v>
      </c>
      <c r="AU220" s="69">
        <v>45695.0</v>
      </c>
      <c r="AV220" s="70">
        <v>46022.0</v>
      </c>
      <c r="AW220" s="52" t="s">
        <v>1483</v>
      </c>
      <c r="AX220" s="52" t="s">
        <v>587</v>
      </c>
      <c r="AY220" s="52">
        <v>327.0</v>
      </c>
      <c r="BA220" s="73" t="s">
        <v>3286</v>
      </c>
      <c r="BB220" s="69">
        <v>45695.0</v>
      </c>
      <c r="BC220" s="52" t="s">
        <v>352</v>
      </c>
      <c r="BD220" s="52">
        <v>1.010166597E9</v>
      </c>
      <c r="BE220" s="52" t="s">
        <v>2426</v>
      </c>
      <c r="BF220" s="52" t="s">
        <v>182</v>
      </c>
      <c r="BG220" s="52" t="s">
        <v>2041</v>
      </c>
      <c r="BH220" s="52" t="s">
        <v>894</v>
      </c>
      <c r="BI220" s="52" t="s">
        <v>2805</v>
      </c>
    </row>
    <row r="221">
      <c r="A221" s="52">
        <v>194.0</v>
      </c>
      <c r="B221" s="52" t="s">
        <v>3287</v>
      </c>
      <c r="E221" s="52" t="s">
        <v>1908</v>
      </c>
      <c r="F221" s="52" t="s">
        <v>3170</v>
      </c>
      <c r="G221" s="52" t="s">
        <v>3288</v>
      </c>
      <c r="H221" s="52" t="s">
        <v>2042</v>
      </c>
      <c r="I221" s="52" t="s">
        <v>2042</v>
      </c>
      <c r="J221" s="52" t="s">
        <v>1478</v>
      </c>
      <c r="K221" s="52" t="s">
        <v>2213</v>
      </c>
      <c r="L221" s="52" t="s">
        <v>2010</v>
      </c>
      <c r="N221" s="52" t="s">
        <v>2010</v>
      </c>
      <c r="O221" s="69">
        <v>45692.0</v>
      </c>
      <c r="P221" s="52">
        <v>2.0251500008853E13</v>
      </c>
      <c r="Q221" s="52" t="s">
        <v>2213</v>
      </c>
      <c r="R221" s="69">
        <v>45692.0</v>
      </c>
      <c r="S221" s="52" t="s">
        <v>3289</v>
      </c>
      <c r="T221" s="52" t="s">
        <v>3170</v>
      </c>
      <c r="U221" s="52" t="s">
        <v>3290</v>
      </c>
      <c r="X221" s="52" t="s">
        <v>1030</v>
      </c>
      <c r="AD221" s="52" t="s">
        <v>587</v>
      </c>
      <c r="AG221" s="52">
        <v>126.0</v>
      </c>
      <c r="AJ221" s="52" t="s">
        <v>3170</v>
      </c>
      <c r="AK221" s="52" t="s">
        <v>2022</v>
      </c>
      <c r="AL221" s="52" t="s">
        <v>587</v>
      </c>
      <c r="AM221" s="52" t="s">
        <v>587</v>
      </c>
      <c r="AN221" s="52" t="s">
        <v>587</v>
      </c>
      <c r="AO221" s="52" t="s">
        <v>1483</v>
      </c>
      <c r="AQ221" s="52" t="s">
        <v>587</v>
      </c>
      <c r="AR221" s="52" t="s">
        <v>587</v>
      </c>
      <c r="AS221" s="52" t="s">
        <v>587</v>
      </c>
      <c r="AT221" s="52" t="s">
        <v>587</v>
      </c>
      <c r="AU221" s="52" t="s">
        <v>587</v>
      </c>
      <c r="AV221" s="52" t="s">
        <v>587</v>
      </c>
      <c r="AW221" s="52" t="s">
        <v>1483</v>
      </c>
      <c r="AX221" s="52" t="s">
        <v>587</v>
      </c>
      <c r="AY221" s="52">
        <v>0.0</v>
      </c>
      <c r="BB221" s="52" t="s">
        <v>587</v>
      </c>
      <c r="BG221" s="52" t="s">
        <v>3170</v>
      </c>
      <c r="BI221" s="52" t="s">
        <v>587</v>
      </c>
    </row>
    <row r="222">
      <c r="A222" s="52">
        <v>195.0</v>
      </c>
      <c r="B222" s="52" t="s">
        <v>977</v>
      </c>
      <c r="C222" s="52" t="s">
        <v>2005</v>
      </c>
      <c r="D222" s="52">
        <v>7.9272744E7</v>
      </c>
      <c r="E222" s="52" t="s">
        <v>1908</v>
      </c>
      <c r="F222" s="69">
        <v>45693.0</v>
      </c>
      <c r="G222" s="52" t="s">
        <v>979</v>
      </c>
      <c r="H222" s="52" t="s">
        <v>2042</v>
      </c>
      <c r="I222" s="52" t="s">
        <v>2042</v>
      </c>
      <c r="J222" s="52" t="s">
        <v>1478</v>
      </c>
      <c r="K222" s="52" t="s">
        <v>2612</v>
      </c>
      <c r="L222" s="52" t="s">
        <v>2010</v>
      </c>
      <c r="N222" s="52" t="s">
        <v>2010</v>
      </c>
      <c r="O222" s="69">
        <v>45692.0</v>
      </c>
      <c r="P222" s="52">
        <v>2.0251500008843E13</v>
      </c>
      <c r="Q222" s="52" t="s">
        <v>2612</v>
      </c>
      <c r="R222" s="69">
        <v>45692.0</v>
      </c>
      <c r="S222" s="52" t="s">
        <v>3291</v>
      </c>
      <c r="T222" s="52" t="s">
        <v>2013</v>
      </c>
      <c r="U222" s="52" t="s">
        <v>3292</v>
      </c>
      <c r="V222" s="52" t="s">
        <v>581</v>
      </c>
      <c r="W222" s="52" t="s">
        <v>1471</v>
      </c>
      <c r="X222" s="52" t="s">
        <v>583</v>
      </c>
      <c r="Y222" s="52" t="s">
        <v>978</v>
      </c>
      <c r="Z222" s="52" t="s">
        <v>2081</v>
      </c>
      <c r="AA222" s="52" t="s">
        <v>2016</v>
      </c>
      <c r="AB222" s="52" t="s">
        <v>2470</v>
      </c>
      <c r="AC222" s="52" t="s">
        <v>2114</v>
      </c>
      <c r="AD222" s="52" t="s">
        <v>587</v>
      </c>
      <c r="AE222" s="52" t="s">
        <v>2019</v>
      </c>
      <c r="AF222" s="69">
        <v>22786.0</v>
      </c>
      <c r="AG222" s="52">
        <v>63.0</v>
      </c>
      <c r="AH222" s="52" t="s">
        <v>1826</v>
      </c>
      <c r="AI222" s="52" t="s">
        <v>3293</v>
      </c>
      <c r="AJ222" s="52" t="s">
        <v>3294</v>
      </c>
      <c r="AK222" s="52" t="s">
        <v>2022</v>
      </c>
      <c r="AL222" s="52" t="s">
        <v>1811</v>
      </c>
      <c r="AM222" s="52" t="s">
        <v>587</v>
      </c>
      <c r="AN222" s="52" t="s">
        <v>1811</v>
      </c>
      <c r="AO222" s="52" t="s">
        <v>1483</v>
      </c>
      <c r="AP222" s="52">
        <v>18525.0</v>
      </c>
      <c r="AQ222" s="52">
        <v>20525.0</v>
      </c>
      <c r="AR222" s="52" t="s">
        <v>351</v>
      </c>
      <c r="AS222" s="69">
        <v>45694.0</v>
      </c>
      <c r="AT222" s="70">
        <v>46021.0</v>
      </c>
      <c r="AU222" s="69">
        <v>45694.0</v>
      </c>
      <c r="AV222" s="70">
        <v>46021.0</v>
      </c>
      <c r="AW222" s="52" t="s">
        <v>1483</v>
      </c>
      <c r="AX222" s="52" t="s">
        <v>587</v>
      </c>
      <c r="AY222" s="52">
        <v>327.0</v>
      </c>
      <c r="BA222" s="73" t="s">
        <v>3295</v>
      </c>
      <c r="BB222" s="69">
        <v>45694.0</v>
      </c>
      <c r="BC222" s="52" t="s">
        <v>973</v>
      </c>
      <c r="BD222" s="52">
        <v>7.3154558E7</v>
      </c>
      <c r="BE222" s="52" t="s">
        <v>3281</v>
      </c>
      <c r="BF222" s="52" t="s">
        <v>182</v>
      </c>
      <c r="BG222" s="52" t="s">
        <v>2041</v>
      </c>
      <c r="BH222" s="52" t="s">
        <v>899</v>
      </c>
      <c r="BI222" s="52" t="s">
        <v>2805</v>
      </c>
    </row>
    <row r="223">
      <c r="A223" s="52">
        <v>196.0</v>
      </c>
      <c r="B223" s="52" t="s">
        <v>980</v>
      </c>
      <c r="C223" s="52" t="s">
        <v>2005</v>
      </c>
      <c r="D223" s="52">
        <v>1.049623315E9</v>
      </c>
      <c r="E223" s="52" t="s">
        <v>1908</v>
      </c>
      <c r="F223" s="69">
        <v>45694.0</v>
      </c>
      <c r="G223" s="52" t="s">
        <v>982</v>
      </c>
      <c r="H223" s="52" t="s">
        <v>1788</v>
      </c>
      <c r="I223" s="52" t="s">
        <v>2088</v>
      </c>
      <c r="J223" s="52" t="s">
        <v>1478</v>
      </c>
      <c r="K223" s="52" t="s">
        <v>2515</v>
      </c>
      <c r="L223" s="52" t="s">
        <v>2010</v>
      </c>
      <c r="N223" s="52" t="s">
        <v>2010</v>
      </c>
      <c r="O223" s="69">
        <v>45692.0</v>
      </c>
      <c r="P223" s="52">
        <v>2.0251110009123E13</v>
      </c>
      <c r="Q223" s="52" t="s">
        <v>2515</v>
      </c>
      <c r="R223" s="69">
        <v>45692.0</v>
      </c>
      <c r="S223" s="52" t="s">
        <v>3296</v>
      </c>
      <c r="T223" s="52" t="s">
        <v>2013</v>
      </c>
      <c r="U223" s="52" t="s">
        <v>3297</v>
      </c>
      <c r="V223" s="52" t="s">
        <v>581</v>
      </c>
      <c r="W223" s="52" t="s">
        <v>1471</v>
      </c>
      <c r="X223" s="52" t="s">
        <v>1030</v>
      </c>
      <c r="Y223" s="52" t="s">
        <v>981</v>
      </c>
      <c r="Z223" s="52" t="s">
        <v>2081</v>
      </c>
      <c r="AA223" s="52" t="s">
        <v>2016</v>
      </c>
      <c r="AB223" s="52" t="s">
        <v>2032</v>
      </c>
      <c r="AC223" s="52" t="s">
        <v>2114</v>
      </c>
      <c r="AD223" s="52" t="s">
        <v>587</v>
      </c>
      <c r="AE223" s="52" t="s">
        <v>3298</v>
      </c>
      <c r="AF223" s="70">
        <v>33201.0</v>
      </c>
      <c r="AG223" s="52">
        <v>35.0</v>
      </c>
      <c r="AH223" s="52" t="s">
        <v>1600</v>
      </c>
      <c r="AI223" s="52" t="s">
        <v>3299</v>
      </c>
      <c r="AJ223" s="52" t="s">
        <v>3300</v>
      </c>
      <c r="AK223" s="52" t="s">
        <v>2022</v>
      </c>
      <c r="AL223" s="52" t="s">
        <v>1827</v>
      </c>
      <c r="AM223" s="52" t="s">
        <v>587</v>
      </c>
      <c r="AN223" s="52" t="s">
        <v>1827</v>
      </c>
      <c r="AO223" s="52" t="s">
        <v>1483</v>
      </c>
      <c r="AP223" s="52">
        <v>23625.0</v>
      </c>
      <c r="AQ223" s="52">
        <v>21025.0</v>
      </c>
      <c r="AR223" s="52" t="s">
        <v>77</v>
      </c>
      <c r="AS223" s="69">
        <v>45695.0</v>
      </c>
      <c r="AT223" s="70">
        <v>45997.0</v>
      </c>
      <c r="AU223" s="69">
        <v>45695.0</v>
      </c>
      <c r="AV223" s="70">
        <v>45997.0</v>
      </c>
      <c r="AW223" s="52" t="s">
        <v>1483</v>
      </c>
      <c r="AX223" s="52" t="s">
        <v>587</v>
      </c>
      <c r="AY223" s="52">
        <v>302.0</v>
      </c>
      <c r="BA223" s="73" t="s">
        <v>3301</v>
      </c>
      <c r="BB223" s="69">
        <v>45695.0</v>
      </c>
      <c r="BC223" s="52" t="s">
        <v>524</v>
      </c>
      <c r="BD223" s="52">
        <v>1.01603403E9</v>
      </c>
      <c r="BE223" s="52" t="s">
        <v>2648</v>
      </c>
      <c r="BF223" s="52" t="s">
        <v>848</v>
      </c>
      <c r="BG223" s="52" t="s">
        <v>2041</v>
      </c>
      <c r="BH223" s="52" t="s">
        <v>904</v>
      </c>
      <c r="BI223" s="52" t="s">
        <v>2805</v>
      </c>
    </row>
    <row r="224">
      <c r="A224" s="52">
        <v>197.0</v>
      </c>
      <c r="B224" s="52" t="s">
        <v>983</v>
      </c>
      <c r="C224" s="52" t="s">
        <v>2005</v>
      </c>
      <c r="D224" s="52">
        <v>1.0207309E9</v>
      </c>
      <c r="E224" s="52" t="s">
        <v>1908</v>
      </c>
      <c r="F224" s="69">
        <v>45694.0</v>
      </c>
      <c r="G224" s="52" t="s">
        <v>985</v>
      </c>
      <c r="H224" s="52" t="s">
        <v>2291</v>
      </c>
      <c r="I224" s="52" t="s">
        <v>2121</v>
      </c>
      <c r="J224" s="52" t="s">
        <v>1478</v>
      </c>
      <c r="K224" s="52" t="s">
        <v>2612</v>
      </c>
      <c r="L224" s="52" t="s">
        <v>2010</v>
      </c>
      <c r="N224" s="52" t="s">
        <v>2010</v>
      </c>
      <c r="O224" s="69">
        <v>45692.0</v>
      </c>
      <c r="P224" s="52">
        <v>2.0251020008873E13</v>
      </c>
      <c r="Q224" s="52" t="s">
        <v>2612</v>
      </c>
      <c r="R224" s="69">
        <v>45692.0</v>
      </c>
      <c r="S224" s="52" t="s">
        <v>3302</v>
      </c>
      <c r="T224" s="52" t="s">
        <v>2013</v>
      </c>
      <c r="U224" s="52" t="s">
        <v>3303</v>
      </c>
      <c r="V224" s="52" t="s">
        <v>581</v>
      </c>
      <c r="W224" s="52" t="s">
        <v>1471</v>
      </c>
      <c r="X224" s="52" t="s">
        <v>1030</v>
      </c>
      <c r="Y224" s="52" t="s">
        <v>984</v>
      </c>
      <c r="Z224" s="52" t="s">
        <v>2081</v>
      </c>
      <c r="AA224" s="52" t="s">
        <v>2016</v>
      </c>
      <c r="AB224" s="52" t="s">
        <v>2470</v>
      </c>
      <c r="AC224" s="52" t="s">
        <v>2054</v>
      </c>
      <c r="AD224" s="52" t="s">
        <v>587</v>
      </c>
      <c r="AE224" s="52" t="s">
        <v>2093</v>
      </c>
      <c r="AF224" s="69">
        <v>32180.0</v>
      </c>
      <c r="AG224" s="52">
        <v>37.0</v>
      </c>
      <c r="AH224" s="52" t="s">
        <v>1472</v>
      </c>
      <c r="AI224" s="52" t="s">
        <v>3304</v>
      </c>
      <c r="AJ224" s="52" t="s">
        <v>3305</v>
      </c>
      <c r="AK224" s="52" t="s">
        <v>2022</v>
      </c>
      <c r="AL224" s="52" t="s">
        <v>1828</v>
      </c>
      <c r="AM224" s="52" t="s">
        <v>587</v>
      </c>
      <c r="AN224" s="52" t="s">
        <v>1828</v>
      </c>
      <c r="AO224" s="52" t="s">
        <v>1483</v>
      </c>
      <c r="AP224" s="52">
        <v>23525.0</v>
      </c>
      <c r="AQ224" s="52">
        <v>20725.0</v>
      </c>
      <c r="AR224" s="52" t="s">
        <v>111</v>
      </c>
      <c r="AS224" s="69">
        <v>45695.0</v>
      </c>
      <c r="AT224" s="69">
        <v>45906.0</v>
      </c>
      <c r="AU224" s="69">
        <v>45695.0</v>
      </c>
      <c r="AV224" s="69">
        <v>45906.0</v>
      </c>
      <c r="AW224" s="52" t="s">
        <v>1483</v>
      </c>
      <c r="AX224" s="52" t="s">
        <v>587</v>
      </c>
      <c r="AY224" s="52">
        <v>211.0</v>
      </c>
      <c r="BA224" s="73" t="s">
        <v>3306</v>
      </c>
      <c r="BB224" s="69">
        <v>45695.0</v>
      </c>
      <c r="BC224" s="52" t="s">
        <v>257</v>
      </c>
      <c r="BD224" s="52">
        <v>5.298137E7</v>
      </c>
      <c r="BE224" s="52" t="s">
        <v>2298</v>
      </c>
      <c r="BF224" s="52" t="s">
        <v>258</v>
      </c>
      <c r="BG224" s="52" t="s">
        <v>2041</v>
      </c>
      <c r="BH224" s="52" t="s">
        <v>908</v>
      </c>
      <c r="BI224" s="52" t="s">
        <v>2805</v>
      </c>
    </row>
    <row r="225">
      <c r="A225" s="52">
        <v>198.0</v>
      </c>
      <c r="B225" s="52" t="s">
        <v>986</v>
      </c>
      <c r="C225" s="52" t="s">
        <v>2005</v>
      </c>
      <c r="D225" s="52">
        <v>1.032450346E9</v>
      </c>
      <c r="E225" s="52" t="s">
        <v>1908</v>
      </c>
      <c r="F225" s="69">
        <v>45698.0</v>
      </c>
      <c r="G225" s="52" t="s">
        <v>988</v>
      </c>
      <c r="H225" s="52" t="s">
        <v>2446</v>
      </c>
      <c r="I225" s="52" t="s">
        <v>2042</v>
      </c>
      <c r="J225" s="52" t="s">
        <v>1478</v>
      </c>
      <c r="K225" s="52" t="s">
        <v>2612</v>
      </c>
      <c r="L225" s="52" t="s">
        <v>2010</v>
      </c>
      <c r="N225" s="52" t="s">
        <v>2010</v>
      </c>
      <c r="O225" s="69">
        <v>45692.0</v>
      </c>
      <c r="P225" s="52">
        <v>2.0251500009183E13</v>
      </c>
      <c r="Q225" s="52" t="s">
        <v>2612</v>
      </c>
      <c r="R225" s="69">
        <v>45693.0</v>
      </c>
      <c r="S225" s="52" t="s">
        <v>3307</v>
      </c>
      <c r="T225" s="52" t="s">
        <v>2013</v>
      </c>
      <c r="U225" s="52" t="s">
        <v>3308</v>
      </c>
      <c r="V225" s="52" t="s">
        <v>581</v>
      </c>
      <c r="W225" s="52" t="s">
        <v>1471</v>
      </c>
      <c r="X225" s="52" t="s">
        <v>781</v>
      </c>
      <c r="Y225" s="52" t="s">
        <v>987</v>
      </c>
      <c r="Z225" s="52" t="s">
        <v>2015</v>
      </c>
      <c r="AA225" s="52" t="s">
        <v>3309</v>
      </c>
      <c r="AB225" s="52" t="s">
        <v>2032</v>
      </c>
      <c r="AC225" s="52" t="s">
        <v>2018</v>
      </c>
      <c r="AD225" s="52" t="s">
        <v>587</v>
      </c>
      <c r="AE225" s="52" t="s">
        <v>3310</v>
      </c>
      <c r="AF225" s="69">
        <v>33749.0</v>
      </c>
      <c r="AG225" s="52">
        <v>33.0</v>
      </c>
      <c r="AH225" s="52" t="s">
        <v>1731</v>
      </c>
      <c r="AI225" s="52" t="s">
        <v>3311</v>
      </c>
      <c r="AJ225" s="52" t="s">
        <v>3312</v>
      </c>
      <c r="AK225" s="52" t="s">
        <v>2022</v>
      </c>
      <c r="AL225" s="52" t="s">
        <v>1830</v>
      </c>
      <c r="AM225" s="52" t="s">
        <v>587</v>
      </c>
      <c r="AN225" s="52" t="s">
        <v>1830</v>
      </c>
      <c r="AO225" s="52" t="s">
        <v>1483</v>
      </c>
      <c r="AP225" s="52">
        <v>23825.0</v>
      </c>
      <c r="AQ225" s="52">
        <v>22425.0</v>
      </c>
      <c r="AR225" s="52" t="s">
        <v>53</v>
      </c>
      <c r="AS225" s="69">
        <v>45702.0</v>
      </c>
      <c r="AT225" s="70">
        <v>46022.0</v>
      </c>
      <c r="AU225" s="69">
        <v>45702.0</v>
      </c>
      <c r="AV225" s="70">
        <v>46022.0</v>
      </c>
      <c r="AW225" s="52" t="s">
        <v>1483</v>
      </c>
      <c r="AX225" s="52" t="s">
        <v>587</v>
      </c>
      <c r="AY225" s="52">
        <v>320.0</v>
      </c>
      <c r="BA225" s="73" t="s">
        <v>3313</v>
      </c>
      <c r="BB225" s="69">
        <v>45705.0</v>
      </c>
      <c r="BC225" s="52" t="s">
        <v>375</v>
      </c>
      <c r="BD225" s="52">
        <v>1.01842287E9</v>
      </c>
      <c r="BE225" s="52" t="s">
        <v>2453</v>
      </c>
      <c r="BF225" s="52" t="s">
        <v>193</v>
      </c>
      <c r="BG225" s="52" t="s">
        <v>2041</v>
      </c>
      <c r="BH225" s="52" t="s">
        <v>913</v>
      </c>
      <c r="BI225" s="52" t="s">
        <v>2805</v>
      </c>
    </row>
    <row r="226">
      <c r="A226" s="52">
        <v>199.0</v>
      </c>
      <c r="B226" s="52" t="s">
        <v>989</v>
      </c>
      <c r="C226" s="52" t="s">
        <v>2005</v>
      </c>
      <c r="D226" s="52">
        <v>1.077149572E9</v>
      </c>
      <c r="E226" s="52" t="s">
        <v>1908</v>
      </c>
      <c r="F226" s="69">
        <v>45695.0</v>
      </c>
      <c r="G226" s="52" t="s">
        <v>1831</v>
      </c>
      <c r="H226" s="52" t="s">
        <v>2068</v>
      </c>
      <c r="I226" s="52" t="s">
        <v>2068</v>
      </c>
      <c r="J226" s="52" t="s">
        <v>1478</v>
      </c>
      <c r="K226" s="52" t="s">
        <v>2059</v>
      </c>
      <c r="L226" s="52" t="s">
        <v>2010</v>
      </c>
      <c r="N226" s="52" t="s">
        <v>2010</v>
      </c>
      <c r="O226" s="69">
        <v>45693.0</v>
      </c>
      <c r="P226" s="52">
        <v>2.0251900009483E13</v>
      </c>
      <c r="Q226" s="52" t="s">
        <v>2059</v>
      </c>
      <c r="R226" s="69">
        <v>45693.0</v>
      </c>
      <c r="S226" s="52" t="s">
        <v>3314</v>
      </c>
      <c r="T226" s="52" t="s">
        <v>2013</v>
      </c>
      <c r="U226" s="52" t="s">
        <v>3315</v>
      </c>
      <c r="V226" s="52" t="s">
        <v>581</v>
      </c>
      <c r="W226" s="52" t="s">
        <v>1471</v>
      </c>
      <c r="X226" s="52" t="s">
        <v>781</v>
      </c>
      <c r="Y226" s="52" t="s">
        <v>990</v>
      </c>
      <c r="Z226" s="52" t="s">
        <v>2081</v>
      </c>
      <c r="AA226" s="52" t="s">
        <v>2054</v>
      </c>
      <c r="AB226" s="52" t="s">
        <v>2062</v>
      </c>
      <c r="AC226" s="52" t="s">
        <v>2114</v>
      </c>
      <c r="AD226" s="52" t="s">
        <v>587</v>
      </c>
      <c r="AE226" s="52" t="s">
        <v>3316</v>
      </c>
      <c r="AF226" s="69">
        <v>35596.0</v>
      </c>
      <c r="AG226" s="52">
        <v>28.0</v>
      </c>
      <c r="AH226" s="52" t="s">
        <v>1526</v>
      </c>
      <c r="AI226" s="52" t="s">
        <v>3317</v>
      </c>
      <c r="AJ226" s="52" t="s">
        <v>3318</v>
      </c>
      <c r="AK226" s="52" t="s">
        <v>2022</v>
      </c>
      <c r="AL226" s="52" t="s">
        <v>1486</v>
      </c>
      <c r="AM226" s="52" t="s">
        <v>587</v>
      </c>
      <c r="AN226" s="52" t="s">
        <v>1486</v>
      </c>
      <c r="AO226" s="52" t="s">
        <v>1483</v>
      </c>
      <c r="AP226" s="52">
        <v>22425.0</v>
      </c>
      <c r="AQ226" s="52">
        <v>22025.0</v>
      </c>
      <c r="AR226" s="52" t="s">
        <v>367</v>
      </c>
      <c r="AS226" s="69">
        <v>45696.0</v>
      </c>
      <c r="AT226" s="70">
        <v>46015.0</v>
      </c>
      <c r="AU226" s="69">
        <v>45698.0</v>
      </c>
      <c r="AV226" s="70">
        <v>46015.0</v>
      </c>
      <c r="AW226" s="52" t="s">
        <v>1483</v>
      </c>
      <c r="AX226" s="52" t="s">
        <v>587</v>
      </c>
      <c r="AY226" s="52">
        <v>317.0</v>
      </c>
      <c r="BA226" s="73" t="s">
        <v>3319</v>
      </c>
      <c r="BB226" s="69">
        <v>45698.0</v>
      </c>
      <c r="BC226" s="52" t="s">
        <v>992</v>
      </c>
      <c r="BD226" s="70">
        <v>1.7342397E7</v>
      </c>
      <c r="BE226" s="52" t="s">
        <v>3320</v>
      </c>
      <c r="BF226" s="52" t="s">
        <v>223</v>
      </c>
      <c r="BG226" s="52" t="s">
        <v>2041</v>
      </c>
      <c r="BH226" s="52" t="s">
        <v>918</v>
      </c>
    </row>
    <row r="227">
      <c r="B227" s="52" t="s">
        <v>2805</v>
      </c>
    </row>
    <row r="228">
      <c r="A228" s="52">
        <v>200.0</v>
      </c>
      <c r="B228" s="52" t="s">
        <v>993</v>
      </c>
      <c r="C228" s="52" t="s">
        <v>2005</v>
      </c>
      <c r="D228" s="52">
        <v>1.1433786E9</v>
      </c>
      <c r="E228" s="52" t="s">
        <v>1908</v>
      </c>
      <c r="F228" s="69">
        <v>45695.0</v>
      </c>
      <c r="G228" s="52" t="s">
        <v>995</v>
      </c>
      <c r="H228" s="52" t="s">
        <v>2068</v>
      </c>
      <c r="I228" s="52" t="s">
        <v>2068</v>
      </c>
      <c r="J228" s="52" t="s">
        <v>1478</v>
      </c>
      <c r="K228" s="52" t="s">
        <v>2059</v>
      </c>
      <c r="L228" s="52" t="s">
        <v>2010</v>
      </c>
      <c r="N228" s="52" t="s">
        <v>2010</v>
      </c>
      <c r="O228" s="69">
        <v>45693.0</v>
      </c>
      <c r="P228" s="52">
        <v>2.0251900009493E13</v>
      </c>
      <c r="Q228" s="52" t="s">
        <v>2059</v>
      </c>
      <c r="R228" s="69">
        <v>45693.0</v>
      </c>
      <c r="S228" s="52" t="s">
        <v>3321</v>
      </c>
      <c r="T228" s="52" t="s">
        <v>2013</v>
      </c>
      <c r="U228" s="52" t="s">
        <v>3322</v>
      </c>
      <c r="V228" s="52" t="s">
        <v>581</v>
      </c>
      <c r="W228" s="52" t="s">
        <v>1471</v>
      </c>
      <c r="X228" s="52" t="s">
        <v>1030</v>
      </c>
      <c r="Y228" s="52" t="s">
        <v>994</v>
      </c>
      <c r="Z228" s="52" t="s">
        <v>2081</v>
      </c>
      <c r="AA228" s="52" t="s">
        <v>2016</v>
      </c>
      <c r="AB228" s="52" t="s">
        <v>2032</v>
      </c>
      <c r="AC228" s="52" t="s">
        <v>2824</v>
      </c>
      <c r="AD228" s="52" t="s">
        <v>587</v>
      </c>
      <c r="AE228" s="52" t="s">
        <v>3323</v>
      </c>
      <c r="AF228" s="69">
        <v>33058.0</v>
      </c>
      <c r="AG228" s="52">
        <v>35.0</v>
      </c>
      <c r="AH228" s="52" t="s">
        <v>1526</v>
      </c>
      <c r="AI228" s="52" t="s">
        <v>3324</v>
      </c>
      <c r="AJ228" s="52" t="s">
        <v>3325</v>
      </c>
      <c r="AK228" s="52" t="s">
        <v>2022</v>
      </c>
      <c r="AL228" s="52" t="s">
        <v>1832</v>
      </c>
      <c r="AM228" s="52" t="s">
        <v>587</v>
      </c>
      <c r="AN228" s="52" t="s">
        <v>1832</v>
      </c>
      <c r="AO228" s="52" t="s">
        <v>1483</v>
      </c>
      <c r="AP228" s="52">
        <v>22725.0</v>
      </c>
      <c r="AQ228" s="52">
        <v>22525.0</v>
      </c>
      <c r="AR228" s="52" t="s">
        <v>67</v>
      </c>
      <c r="AS228" s="69">
        <v>45698.0</v>
      </c>
      <c r="AT228" s="70">
        <v>46022.0</v>
      </c>
      <c r="AU228" s="69">
        <v>45698.0</v>
      </c>
      <c r="AV228" s="70">
        <v>46022.0</v>
      </c>
      <c r="AW228" s="52" t="s">
        <v>1483</v>
      </c>
      <c r="AX228" s="52" t="s">
        <v>587</v>
      </c>
      <c r="AY228" s="52">
        <v>324.0</v>
      </c>
      <c r="BA228" s="73" t="s">
        <v>3326</v>
      </c>
      <c r="BB228" s="69">
        <v>45698.0</v>
      </c>
      <c r="BC228" s="52" t="s">
        <v>433</v>
      </c>
      <c r="BD228" s="52">
        <v>1.02071366E9</v>
      </c>
      <c r="BE228" s="52" t="s">
        <v>2528</v>
      </c>
      <c r="BF228" s="52" t="s">
        <v>223</v>
      </c>
      <c r="BG228" s="52" t="s">
        <v>2041</v>
      </c>
      <c r="BH228" s="52" t="s">
        <v>927</v>
      </c>
      <c r="BI228" s="52" t="s">
        <v>2805</v>
      </c>
    </row>
    <row r="229">
      <c r="A229" s="52">
        <v>201.0</v>
      </c>
      <c r="B229" s="52" t="s">
        <v>3327</v>
      </c>
      <c r="E229" s="52" t="s">
        <v>1908</v>
      </c>
      <c r="G229" s="52" t="s">
        <v>3328</v>
      </c>
      <c r="H229" s="52" t="s">
        <v>2088</v>
      </c>
      <c r="I229" s="52" t="s">
        <v>2088</v>
      </c>
      <c r="J229" s="52" t="s">
        <v>1478</v>
      </c>
      <c r="K229" s="52" t="s">
        <v>2029</v>
      </c>
      <c r="L229" s="52" t="s">
        <v>2010</v>
      </c>
      <c r="N229" s="52" t="s">
        <v>1908</v>
      </c>
      <c r="O229" s="69">
        <v>45694.0</v>
      </c>
      <c r="P229" s="52" t="s">
        <v>3329</v>
      </c>
      <c r="Q229" s="52" t="s">
        <v>2029</v>
      </c>
      <c r="R229" s="69">
        <v>45695.0</v>
      </c>
      <c r="S229" s="52" t="s">
        <v>3330</v>
      </c>
      <c r="T229" s="52" t="s">
        <v>3331</v>
      </c>
      <c r="U229" s="52" t="s">
        <v>3332</v>
      </c>
      <c r="X229" s="52" t="s">
        <v>1030</v>
      </c>
      <c r="Y229" s="52" t="s">
        <v>3333</v>
      </c>
      <c r="AA229" s="52" t="s">
        <v>39</v>
      </c>
      <c r="AB229" s="52" t="s">
        <v>39</v>
      </c>
      <c r="AC229" s="52" t="s">
        <v>39</v>
      </c>
      <c r="AD229" s="52" t="s">
        <v>587</v>
      </c>
      <c r="AE229" s="52" t="s">
        <v>39</v>
      </c>
      <c r="AF229" s="52" t="s">
        <v>39</v>
      </c>
      <c r="AG229" s="52" t="s">
        <v>2310</v>
      </c>
      <c r="AH229" s="52" t="s">
        <v>39</v>
      </c>
      <c r="AI229" s="52" t="s">
        <v>3334</v>
      </c>
      <c r="AJ229" s="52" t="s">
        <v>3170</v>
      </c>
      <c r="AK229" s="52" t="s">
        <v>2022</v>
      </c>
      <c r="AL229" s="52" t="s">
        <v>587</v>
      </c>
      <c r="AM229" s="52" t="s">
        <v>587</v>
      </c>
      <c r="AN229" s="52" t="s">
        <v>587</v>
      </c>
      <c r="AO229" s="52" t="s">
        <v>1483</v>
      </c>
      <c r="AP229" s="52">
        <v>54724.0</v>
      </c>
      <c r="AQ229" s="52" t="s">
        <v>587</v>
      </c>
      <c r="AR229" s="52" t="s">
        <v>587</v>
      </c>
      <c r="AS229" s="52" t="s">
        <v>587</v>
      </c>
      <c r="AT229" s="52" t="s">
        <v>587</v>
      </c>
      <c r="AU229" s="52" t="s">
        <v>587</v>
      </c>
      <c r="AV229" s="52" t="s">
        <v>587</v>
      </c>
      <c r="AW229" s="52" t="s">
        <v>1483</v>
      </c>
      <c r="AX229" s="52" t="s">
        <v>587</v>
      </c>
      <c r="AY229" s="52">
        <v>0.0</v>
      </c>
      <c r="BB229" s="52" t="s">
        <v>587</v>
      </c>
      <c r="BG229" s="52" t="s">
        <v>3170</v>
      </c>
      <c r="BI229" s="52" t="s">
        <v>587</v>
      </c>
    </row>
    <row r="230">
      <c r="A230" s="52">
        <v>202.0</v>
      </c>
      <c r="B230" s="52" t="s">
        <v>996</v>
      </c>
      <c r="C230" s="52" t="s">
        <v>2005</v>
      </c>
      <c r="D230" s="52">
        <v>1.015440358E9</v>
      </c>
      <c r="E230" s="52" t="s">
        <v>1908</v>
      </c>
      <c r="F230" s="69">
        <v>45699.0</v>
      </c>
      <c r="G230" s="52" t="s">
        <v>998</v>
      </c>
      <c r="H230" s="52" t="s">
        <v>2008</v>
      </c>
      <c r="I230" s="52" t="s">
        <v>2008</v>
      </c>
      <c r="J230" s="52" t="s">
        <v>1470</v>
      </c>
      <c r="K230" s="52" t="s">
        <v>2069</v>
      </c>
      <c r="L230" s="52" t="s">
        <v>2010</v>
      </c>
      <c r="N230" s="52" t="s">
        <v>2010</v>
      </c>
      <c r="O230" s="69">
        <v>45693.0</v>
      </c>
      <c r="P230" s="52">
        <v>2.0251610009563E13</v>
      </c>
      <c r="Q230" s="52" t="s">
        <v>2069</v>
      </c>
      <c r="R230" s="69">
        <v>45693.0</v>
      </c>
      <c r="S230" s="52" t="s">
        <v>3335</v>
      </c>
      <c r="T230" s="52" t="s">
        <v>2013</v>
      </c>
      <c r="U230" s="52" t="s">
        <v>3336</v>
      </c>
      <c r="V230" s="52" t="s">
        <v>581</v>
      </c>
      <c r="W230" s="52" t="s">
        <v>1471</v>
      </c>
      <c r="X230" s="52" t="s">
        <v>1030</v>
      </c>
      <c r="Y230" s="52" t="s">
        <v>997</v>
      </c>
      <c r="Z230" s="52" t="s">
        <v>2081</v>
      </c>
      <c r="AA230" s="52" t="s">
        <v>2016</v>
      </c>
      <c r="AB230" s="52" t="s">
        <v>2062</v>
      </c>
      <c r="AC230" s="52" t="s">
        <v>2054</v>
      </c>
      <c r="AD230" s="52" t="s">
        <v>587</v>
      </c>
      <c r="AE230" s="52" t="s">
        <v>2019</v>
      </c>
      <c r="AF230" s="69">
        <v>34200.0</v>
      </c>
      <c r="AG230" s="52">
        <v>32.0</v>
      </c>
      <c r="AH230" s="52" t="s">
        <v>1472</v>
      </c>
      <c r="AI230" s="52" t="s">
        <v>3337</v>
      </c>
      <c r="AJ230" s="52" t="s">
        <v>3338</v>
      </c>
      <c r="AK230" s="52" t="s">
        <v>2022</v>
      </c>
      <c r="AL230" s="52" t="s">
        <v>1833</v>
      </c>
      <c r="AM230" s="52" t="s">
        <v>587</v>
      </c>
      <c r="AN230" s="52" t="s">
        <v>1833</v>
      </c>
      <c r="AO230" s="52" t="s">
        <v>1483</v>
      </c>
      <c r="AP230" s="52">
        <v>22225.0</v>
      </c>
      <c r="AQ230" s="52">
        <v>23025.0</v>
      </c>
      <c r="AR230" s="52" t="s">
        <v>38</v>
      </c>
      <c r="AS230" s="69">
        <v>45700.0</v>
      </c>
      <c r="AT230" s="70">
        <v>46022.0</v>
      </c>
      <c r="AU230" s="69">
        <v>45700.0</v>
      </c>
      <c r="AV230" s="70">
        <v>46022.0</v>
      </c>
      <c r="AW230" s="52" t="s">
        <v>1483</v>
      </c>
      <c r="AX230" s="52" t="s">
        <v>587</v>
      </c>
      <c r="AY230" s="52">
        <v>322.0</v>
      </c>
      <c r="BA230" s="73" t="s">
        <v>3339</v>
      </c>
    </row>
    <row r="231">
      <c r="B231" s="69">
        <v>45700.0</v>
      </c>
      <c r="C231" s="52" t="s">
        <v>328</v>
      </c>
      <c r="D231" s="52">
        <v>1.016024615E9</v>
      </c>
      <c r="E231" s="52" t="s">
        <v>2212</v>
      </c>
      <c r="F231" s="52" t="s">
        <v>258</v>
      </c>
      <c r="G231" s="52" t="s">
        <v>2041</v>
      </c>
      <c r="H231" s="52" t="s">
        <v>1002</v>
      </c>
      <c r="I231" s="52" t="s">
        <v>2805</v>
      </c>
    </row>
    <row r="232">
      <c r="A232" s="52">
        <v>203.0</v>
      </c>
      <c r="B232" s="52" t="s">
        <v>999</v>
      </c>
      <c r="C232" s="52" t="s">
        <v>2005</v>
      </c>
      <c r="D232" s="52">
        <v>5.2498078E7</v>
      </c>
      <c r="E232" s="52" t="s">
        <v>1908</v>
      </c>
      <c r="F232" s="69">
        <v>45695.0</v>
      </c>
      <c r="G232" s="52" t="s">
        <v>1001</v>
      </c>
      <c r="H232" s="52" t="s">
        <v>2143</v>
      </c>
      <c r="I232" s="52" t="s">
        <v>2008</v>
      </c>
      <c r="J232" s="52" t="s">
        <v>1470</v>
      </c>
      <c r="K232" s="52" t="s">
        <v>2069</v>
      </c>
      <c r="L232" s="52" t="s">
        <v>2010</v>
      </c>
      <c r="N232" s="52" t="s">
        <v>2010</v>
      </c>
      <c r="O232" s="69">
        <v>45693.0</v>
      </c>
      <c r="P232" s="52">
        <v>2.0251010009783E13</v>
      </c>
      <c r="Q232" s="52" t="s">
        <v>2069</v>
      </c>
      <c r="R232" s="69">
        <v>45693.0</v>
      </c>
      <c r="S232" s="52" t="s">
        <v>3340</v>
      </c>
      <c r="T232" s="52" t="s">
        <v>2013</v>
      </c>
      <c r="U232" s="52" t="s">
        <v>3341</v>
      </c>
      <c r="V232" s="52" t="s">
        <v>581</v>
      </c>
      <c r="W232" s="52" t="s">
        <v>1471</v>
      </c>
      <c r="X232" s="52" t="s">
        <v>1030</v>
      </c>
      <c r="Y232" s="52" t="s">
        <v>1000</v>
      </c>
      <c r="Z232" s="52" t="s">
        <v>2015</v>
      </c>
      <c r="AA232" s="52" t="s">
        <v>2016</v>
      </c>
      <c r="AB232" s="52" t="s">
        <v>2470</v>
      </c>
      <c r="AC232" s="52" t="s">
        <v>2033</v>
      </c>
      <c r="AD232" s="52" t="s">
        <v>587</v>
      </c>
      <c r="AE232" s="52" t="s">
        <v>2019</v>
      </c>
      <c r="AF232" s="69">
        <v>29128.0</v>
      </c>
      <c r="AG232" s="52">
        <v>46.0</v>
      </c>
      <c r="AH232" s="52" t="s">
        <v>1834</v>
      </c>
      <c r="AI232" s="52" t="s">
        <v>3342</v>
      </c>
      <c r="AJ232" s="52" t="s">
        <v>3343</v>
      </c>
      <c r="AK232" s="52" t="s">
        <v>2022</v>
      </c>
      <c r="AL232" s="52" t="s">
        <v>1627</v>
      </c>
      <c r="AM232" s="52" t="s">
        <v>587</v>
      </c>
      <c r="AN232" s="52" t="s">
        <v>1627</v>
      </c>
      <c r="AO232" s="52" t="s">
        <v>1483</v>
      </c>
      <c r="AP232" s="52">
        <v>22025.0</v>
      </c>
      <c r="AQ232" s="52">
        <v>22025.0</v>
      </c>
      <c r="AR232" s="52" t="s">
        <v>91</v>
      </c>
      <c r="AS232" s="69">
        <v>45698.0</v>
      </c>
      <c r="AT232" s="70">
        <v>45970.0</v>
      </c>
      <c r="AU232" s="69">
        <v>45698.0</v>
      </c>
      <c r="AV232" s="70">
        <v>45970.0</v>
      </c>
      <c r="AW232" s="52" t="s">
        <v>1483</v>
      </c>
      <c r="AX232" s="52" t="s">
        <v>587</v>
      </c>
      <c r="AY232" s="52">
        <v>272.0</v>
      </c>
      <c r="BA232" s="73" t="s">
        <v>3344</v>
      </c>
      <c r="BB232" s="69">
        <v>45698.0</v>
      </c>
      <c r="BC232" s="52" t="s">
        <v>428</v>
      </c>
      <c r="BD232" s="52">
        <v>5.3031432E7</v>
      </c>
      <c r="BE232" s="52" t="s">
        <v>2521</v>
      </c>
      <c r="BF232" s="52" t="s">
        <v>537</v>
      </c>
      <c r="BG232" s="52" t="s">
        <v>2041</v>
      </c>
      <c r="BH232" s="52" t="s">
        <v>1005</v>
      </c>
      <c r="BI232" s="52" t="s">
        <v>2805</v>
      </c>
    </row>
    <row r="233">
      <c r="A233" s="52">
        <v>204.0</v>
      </c>
      <c r="B233" s="52" t="s">
        <v>1003</v>
      </c>
      <c r="C233" s="52" t="s">
        <v>2005</v>
      </c>
      <c r="D233" s="52">
        <v>1.152204081E9</v>
      </c>
      <c r="E233" s="52" t="s">
        <v>1908</v>
      </c>
      <c r="F233" s="69">
        <v>45695.0</v>
      </c>
      <c r="G233" s="52" t="s">
        <v>1004</v>
      </c>
      <c r="H233" s="52" t="s">
        <v>2143</v>
      </c>
      <c r="I233" s="52" t="s">
        <v>2008</v>
      </c>
      <c r="J233" s="52" t="s">
        <v>1478</v>
      </c>
      <c r="K233" s="52" t="s">
        <v>2069</v>
      </c>
      <c r="L233" s="52" t="s">
        <v>2010</v>
      </c>
      <c r="N233" s="52" t="s">
        <v>2010</v>
      </c>
      <c r="O233" s="69">
        <v>45693.0</v>
      </c>
      <c r="P233" s="52">
        <v>2.0251610009853E13</v>
      </c>
      <c r="Q233" s="52" t="s">
        <v>2069</v>
      </c>
      <c r="R233" s="69">
        <v>45694.0</v>
      </c>
      <c r="S233" s="52" t="s">
        <v>3345</v>
      </c>
      <c r="T233" s="52" t="s">
        <v>2013</v>
      </c>
      <c r="U233" s="52" t="s">
        <v>3346</v>
      </c>
      <c r="V233" s="52" t="s">
        <v>581</v>
      </c>
      <c r="W233" s="52" t="s">
        <v>1471</v>
      </c>
      <c r="X233" s="52" t="s">
        <v>1030</v>
      </c>
      <c r="Y233" s="52" t="s">
        <v>1000</v>
      </c>
      <c r="Z233" s="52" t="s">
        <v>2081</v>
      </c>
      <c r="AA233" s="52" t="s">
        <v>2054</v>
      </c>
      <c r="AB233" s="52" t="s">
        <v>2032</v>
      </c>
      <c r="AC233" s="52" t="s">
        <v>2054</v>
      </c>
      <c r="AD233" s="52" t="s">
        <v>587</v>
      </c>
      <c r="AE233" s="52" t="s">
        <v>3347</v>
      </c>
      <c r="AF233" s="69">
        <v>34414.0</v>
      </c>
      <c r="AG233" s="52">
        <v>31.0</v>
      </c>
      <c r="AH233" s="52" t="s">
        <v>1573</v>
      </c>
      <c r="AI233" s="52" t="s">
        <v>3348</v>
      </c>
      <c r="AJ233" s="52" t="s">
        <v>3349</v>
      </c>
      <c r="AK233" s="52" t="s">
        <v>2022</v>
      </c>
      <c r="AL233" s="52" t="s">
        <v>1835</v>
      </c>
      <c r="AM233" s="52" t="s">
        <v>587</v>
      </c>
      <c r="AN233" s="52" t="s">
        <v>1835</v>
      </c>
      <c r="AO233" s="52" t="s">
        <v>1483</v>
      </c>
      <c r="AP233" s="52">
        <v>20325.0</v>
      </c>
      <c r="AQ233" s="52">
        <v>22325.0</v>
      </c>
      <c r="AR233" s="52" t="s">
        <v>313</v>
      </c>
      <c r="AS233" s="69">
        <v>45698.0</v>
      </c>
      <c r="AT233" s="70">
        <v>46022.0</v>
      </c>
      <c r="AU233" s="69">
        <v>45698.0</v>
      </c>
      <c r="AV233" s="70">
        <v>46022.0</v>
      </c>
      <c r="AW233" s="52" t="s">
        <v>1483</v>
      </c>
      <c r="AX233" s="52" t="s">
        <v>587</v>
      </c>
      <c r="AY233" s="52">
        <v>324.0</v>
      </c>
      <c r="BA233" s="73" t="s">
        <v>3350</v>
      </c>
      <c r="BB233" s="69">
        <v>45698.0</v>
      </c>
      <c r="BC233" s="52" t="s">
        <v>874</v>
      </c>
      <c r="BD233" s="52">
        <v>9.3385859E7</v>
      </c>
      <c r="BE233" s="52" t="s">
        <v>3134</v>
      </c>
      <c r="BF233" s="52" t="s">
        <v>165</v>
      </c>
      <c r="BG233" s="52" t="s">
        <v>2041</v>
      </c>
      <c r="BH233" s="52" t="s">
        <v>1009</v>
      </c>
      <c r="BI233" s="52" t="s">
        <v>2805</v>
      </c>
    </row>
    <row r="234">
      <c r="A234" s="52">
        <v>205.0</v>
      </c>
      <c r="B234" s="52" t="s">
        <v>1006</v>
      </c>
      <c r="C234" s="52" t="s">
        <v>2005</v>
      </c>
      <c r="D234" s="52">
        <v>1.032445678E9</v>
      </c>
      <c r="E234" s="52" t="s">
        <v>1908</v>
      </c>
      <c r="F234" s="69">
        <v>45699.0</v>
      </c>
      <c r="G234" s="52" t="s">
        <v>1008</v>
      </c>
      <c r="H234" s="52" t="s">
        <v>2143</v>
      </c>
      <c r="I234" s="52" t="s">
        <v>2008</v>
      </c>
      <c r="J234" s="52" t="s">
        <v>1470</v>
      </c>
      <c r="K234" s="52" t="s">
        <v>2069</v>
      </c>
      <c r="L234" s="52" t="s">
        <v>2010</v>
      </c>
      <c r="N234" s="52" t="s">
        <v>2010</v>
      </c>
      <c r="O234" s="69">
        <v>45693.0</v>
      </c>
      <c r="P234" s="52">
        <v>2.0251610009863E13</v>
      </c>
      <c r="Q234" s="52" t="s">
        <v>2069</v>
      </c>
      <c r="R234" s="69">
        <v>45694.0</v>
      </c>
      <c r="S234" s="52" t="s">
        <v>3351</v>
      </c>
      <c r="T234" s="52" t="s">
        <v>2013</v>
      </c>
      <c r="U234" s="52" t="s">
        <v>3352</v>
      </c>
      <c r="V234" s="52" t="s">
        <v>581</v>
      </c>
      <c r="W234" s="52" t="s">
        <v>1471</v>
      </c>
      <c r="X234" s="52" t="s">
        <v>1030</v>
      </c>
      <c r="Y234" s="52" t="s">
        <v>1007</v>
      </c>
      <c r="Z234" s="52" t="s">
        <v>2015</v>
      </c>
      <c r="AA234" s="52" t="s">
        <v>2016</v>
      </c>
      <c r="AB234" s="52" t="s">
        <v>2017</v>
      </c>
      <c r="AC234" s="52" t="s">
        <v>2018</v>
      </c>
      <c r="AD234" s="52" t="s">
        <v>587</v>
      </c>
      <c r="AE234" s="52" t="s">
        <v>2019</v>
      </c>
      <c r="AF234" s="69">
        <v>33490.0</v>
      </c>
      <c r="AG234" s="52">
        <v>34.0</v>
      </c>
      <c r="AH234" s="52" t="s">
        <v>1600</v>
      </c>
      <c r="AI234" s="52" t="s">
        <v>3353</v>
      </c>
      <c r="AJ234" s="52" t="s">
        <v>3354</v>
      </c>
      <c r="AK234" s="52" t="s">
        <v>2022</v>
      </c>
      <c r="AL234" s="52" t="s">
        <v>1836</v>
      </c>
      <c r="AM234" s="52" t="s">
        <v>587</v>
      </c>
      <c r="AN234" s="52" t="s">
        <v>1836</v>
      </c>
      <c r="AO234" s="52" t="s">
        <v>1483</v>
      </c>
      <c r="AP234" s="52">
        <v>22625.0</v>
      </c>
      <c r="AQ234" s="52">
        <v>23125.0</v>
      </c>
      <c r="AR234" s="52" t="s">
        <v>91</v>
      </c>
      <c r="AS234" s="69">
        <v>45701.0</v>
      </c>
      <c r="AT234" s="70">
        <v>46018.0</v>
      </c>
      <c r="AU234" s="69">
        <v>45701.0</v>
      </c>
      <c r="AV234" s="70">
        <v>46018.0</v>
      </c>
      <c r="AW234" s="52" t="s">
        <v>1483</v>
      </c>
      <c r="AX234" s="52" t="s">
        <v>587</v>
      </c>
      <c r="AY234" s="52">
        <v>317.0</v>
      </c>
      <c r="BA234" s="73" t="s">
        <v>3355</v>
      </c>
      <c r="BB234" s="69">
        <v>45700.0</v>
      </c>
      <c r="BC234" s="52" t="s">
        <v>561</v>
      </c>
      <c r="BD234" s="52">
        <v>6.8297252E7</v>
      </c>
      <c r="BE234" s="52" t="s">
        <v>2142</v>
      </c>
      <c r="BF234" s="52" t="s">
        <v>165</v>
      </c>
      <c r="BG234" s="52" t="s">
        <v>2041</v>
      </c>
      <c r="BH234" s="52" t="s">
        <v>1013</v>
      </c>
      <c r="BI234" s="52" t="s">
        <v>2805</v>
      </c>
    </row>
    <row r="235">
      <c r="A235" s="52">
        <v>206.0</v>
      </c>
      <c r="B235" s="52" t="s">
        <v>1010</v>
      </c>
      <c r="C235" s="52" t="s">
        <v>2005</v>
      </c>
      <c r="D235" s="52">
        <v>1.01023574E9</v>
      </c>
      <c r="E235" s="52" t="s">
        <v>1908</v>
      </c>
      <c r="F235" s="69">
        <v>45698.0</v>
      </c>
      <c r="G235" s="52" t="s">
        <v>1012</v>
      </c>
      <c r="H235" s="52" t="s">
        <v>2291</v>
      </c>
      <c r="I235" s="52" t="s">
        <v>2042</v>
      </c>
      <c r="J235" s="52" t="s">
        <v>1478</v>
      </c>
      <c r="K235" s="52" t="s">
        <v>2213</v>
      </c>
      <c r="L235" s="52" t="s">
        <v>2010</v>
      </c>
      <c r="N235" s="52" t="s">
        <v>2010</v>
      </c>
      <c r="O235" s="69">
        <v>45693.0</v>
      </c>
      <c r="P235" s="52">
        <v>2.0251020009873E13</v>
      </c>
      <c r="Q235" s="52" t="s">
        <v>2213</v>
      </c>
      <c r="R235" s="69">
        <v>45694.0</v>
      </c>
      <c r="S235" s="52" t="s">
        <v>3356</v>
      </c>
      <c r="T235" s="52" t="s">
        <v>2013</v>
      </c>
      <c r="U235" s="52" t="s">
        <v>3357</v>
      </c>
      <c r="V235" s="52" t="s">
        <v>581</v>
      </c>
      <c r="W235" s="52" t="s">
        <v>1471</v>
      </c>
      <c r="X235" s="52" t="s">
        <v>1030</v>
      </c>
      <c r="Y235" s="52" t="s">
        <v>1011</v>
      </c>
      <c r="Z235" s="52" t="s">
        <v>2015</v>
      </c>
      <c r="AA235" s="52" t="s">
        <v>3309</v>
      </c>
      <c r="AB235" s="52" t="s">
        <v>2032</v>
      </c>
      <c r="AC235" s="52" t="s">
        <v>2824</v>
      </c>
      <c r="AD235" s="52" t="s">
        <v>587</v>
      </c>
      <c r="AE235" s="52" t="s">
        <v>2019</v>
      </c>
      <c r="AF235" s="69">
        <v>35524.0</v>
      </c>
      <c r="AG235" s="52">
        <v>28.0</v>
      </c>
      <c r="AH235" s="52" t="s">
        <v>1479</v>
      </c>
      <c r="AI235" s="52" t="s">
        <v>3358</v>
      </c>
      <c r="AJ235" s="52" t="s">
        <v>3359</v>
      </c>
      <c r="AK235" s="52" t="s">
        <v>2022</v>
      </c>
      <c r="AL235" s="52" t="s">
        <v>1837</v>
      </c>
      <c r="AM235" s="52" t="s">
        <v>587</v>
      </c>
      <c r="AN235" s="52" t="s">
        <v>1837</v>
      </c>
      <c r="AO235" s="52" t="s">
        <v>1483</v>
      </c>
      <c r="AP235" s="52">
        <v>23925.0</v>
      </c>
      <c r="AQ235" s="52">
        <v>22725.0</v>
      </c>
      <c r="AR235" s="52" t="s">
        <v>53</v>
      </c>
      <c r="AS235" s="69">
        <v>45701.0</v>
      </c>
      <c r="AT235" s="70">
        <v>46022.0</v>
      </c>
      <c r="AU235" s="69">
        <v>45701.0</v>
      </c>
      <c r="AV235" s="70">
        <v>46022.0</v>
      </c>
      <c r="AW235" s="52" t="s">
        <v>1483</v>
      </c>
      <c r="AX235" s="52" t="s">
        <v>587</v>
      </c>
      <c r="AY235" s="52">
        <v>321.0</v>
      </c>
      <c r="BA235" s="73" t="s">
        <v>3360</v>
      </c>
      <c r="BB235" s="69">
        <v>44969.0</v>
      </c>
      <c r="BC235" s="52" t="s">
        <v>500</v>
      </c>
      <c r="BD235" s="52">
        <v>7.9589657E7</v>
      </c>
      <c r="BE235" s="52" t="s">
        <v>2618</v>
      </c>
      <c r="BF235" s="52" t="s">
        <v>258</v>
      </c>
      <c r="BG235" s="52" t="s">
        <v>2041</v>
      </c>
      <c r="BH235" s="52" t="s">
        <v>1017</v>
      </c>
      <c r="BI235" s="52" t="s">
        <v>2805</v>
      </c>
    </row>
    <row r="236">
      <c r="A236" s="52">
        <v>207.0</v>
      </c>
      <c r="B236" s="52" t="s">
        <v>1014</v>
      </c>
      <c r="C236" s="52" t="s">
        <v>2005</v>
      </c>
      <c r="D236" s="52">
        <v>1.03242089E9</v>
      </c>
      <c r="E236" s="52" t="s">
        <v>1908</v>
      </c>
      <c r="F236" s="69">
        <v>45698.0</v>
      </c>
      <c r="G236" s="52" t="s">
        <v>1016</v>
      </c>
      <c r="H236" s="52" t="s">
        <v>2143</v>
      </c>
      <c r="I236" s="52" t="s">
        <v>2008</v>
      </c>
      <c r="J236" s="52" t="s">
        <v>1470</v>
      </c>
      <c r="K236" s="52" t="s">
        <v>2098</v>
      </c>
      <c r="L236" s="52" t="s">
        <v>2010</v>
      </c>
      <c r="N236" s="52" t="s">
        <v>2010</v>
      </c>
      <c r="O236" s="69">
        <v>45693.0</v>
      </c>
      <c r="P236" s="52">
        <v>2.0251610009893E13</v>
      </c>
      <c r="Q236" s="52" t="s">
        <v>2098</v>
      </c>
      <c r="R236" s="69">
        <v>45694.0</v>
      </c>
      <c r="S236" s="52" t="s">
        <v>3361</v>
      </c>
      <c r="T236" s="52" t="s">
        <v>2013</v>
      </c>
      <c r="U236" s="52" t="s">
        <v>3362</v>
      </c>
      <c r="V236" s="52" t="s">
        <v>581</v>
      </c>
      <c r="W236" s="52" t="s">
        <v>1471</v>
      </c>
      <c r="X236" s="52" t="s">
        <v>1030</v>
      </c>
      <c r="Y236" s="52" t="s">
        <v>1015</v>
      </c>
      <c r="Z236" s="52" t="s">
        <v>2015</v>
      </c>
      <c r="AA236" s="52" t="s">
        <v>2153</v>
      </c>
      <c r="AB236" s="52" t="s">
        <v>2032</v>
      </c>
      <c r="AC236" s="52" t="s">
        <v>2114</v>
      </c>
      <c r="AD236" s="52" t="s">
        <v>587</v>
      </c>
      <c r="AE236" s="52" t="s">
        <v>2019</v>
      </c>
      <c r="AF236" s="69">
        <v>32342.0</v>
      </c>
      <c r="AG236" s="52">
        <v>37.0</v>
      </c>
      <c r="AH236" s="52" t="s">
        <v>1744</v>
      </c>
      <c r="AI236" s="52" t="s">
        <v>3363</v>
      </c>
      <c r="AJ236" s="52" t="s">
        <v>3364</v>
      </c>
      <c r="AK236" s="52" t="s">
        <v>2022</v>
      </c>
      <c r="AL236" s="52" t="s">
        <v>1839</v>
      </c>
      <c r="AM236" s="52" t="s">
        <v>587</v>
      </c>
      <c r="AN236" s="52" t="s">
        <v>1839</v>
      </c>
      <c r="AO236" s="52" t="s">
        <v>1483</v>
      </c>
      <c r="AP236" s="52">
        <v>21325.0</v>
      </c>
      <c r="AQ236" s="52">
        <v>22625.0</v>
      </c>
      <c r="AR236" s="52" t="s">
        <v>91</v>
      </c>
      <c r="AS236" s="69">
        <v>45700.0</v>
      </c>
      <c r="AT236" s="70">
        <v>46022.0</v>
      </c>
      <c r="AU236" s="69">
        <v>45700.0</v>
      </c>
      <c r="AV236" s="70">
        <v>46022.0</v>
      </c>
      <c r="AW236" s="52" t="s">
        <v>1483</v>
      </c>
      <c r="AX236" s="52" t="s">
        <v>587</v>
      </c>
      <c r="AY236" s="52">
        <v>322.0</v>
      </c>
      <c r="BA236" s="73" t="s">
        <v>3365</v>
      </c>
    </row>
    <row r="237">
      <c r="B237" s="69">
        <v>44969.0</v>
      </c>
      <c r="C237" s="52" t="s">
        <v>170</v>
      </c>
      <c r="D237" s="69">
        <v>1.3923899E7</v>
      </c>
      <c r="E237" s="52" t="s">
        <v>2206</v>
      </c>
      <c r="F237" s="52" t="s">
        <v>165</v>
      </c>
      <c r="G237" s="52" t="s">
        <v>2041</v>
      </c>
      <c r="H237" s="52" t="s">
        <v>1021</v>
      </c>
      <c r="I237" s="52" t="s">
        <v>2805</v>
      </c>
    </row>
    <row r="238">
      <c r="A238" s="52">
        <v>208.0</v>
      </c>
      <c r="B238" s="52" t="s">
        <v>1018</v>
      </c>
      <c r="C238" s="52" t="s">
        <v>2005</v>
      </c>
      <c r="D238" s="52">
        <v>1.018481914E9</v>
      </c>
      <c r="E238" s="52" t="s">
        <v>1908</v>
      </c>
      <c r="F238" s="69">
        <v>45698.0</v>
      </c>
      <c r="G238" s="52" t="s">
        <v>1020</v>
      </c>
      <c r="H238" s="52" t="s">
        <v>2177</v>
      </c>
      <c r="I238" s="52" t="s">
        <v>2177</v>
      </c>
      <c r="J238" s="52" t="s">
        <v>1478</v>
      </c>
      <c r="K238" s="52" t="s">
        <v>2515</v>
      </c>
      <c r="L238" s="52" t="s">
        <v>2010</v>
      </c>
      <c r="N238" s="52" t="s">
        <v>2010</v>
      </c>
      <c r="O238" s="69">
        <v>45694.0</v>
      </c>
      <c r="P238" s="52">
        <v>2.0251700009943E13</v>
      </c>
      <c r="Q238" s="52" t="s">
        <v>2515</v>
      </c>
      <c r="R238" s="69">
        <v>45694.0</v>
      </c>
      <c r="S238" s="52" t="s">
        <v>3366</v>
      </c>
      <c r="T238" s="52" t="s">
        <v>2013</v>
      </c>
      <c r="U238" s="52" t="s">
        <v>3367</v>
      </c>
      <c r="V238" s="52" t="s">
        <v>581</v>
      </c>
      <c r="W238" s="52" t="s">
        <v>1471</v>
      </c>
      <c r="X238" s="52" t="s">
        <v>1030</v>
      </c>
      <c r="Y238" s="52" t="s">
        <v>1019</v>
      </c>
      <c r="Z238" s="52" t="s">
        <v>2081</v>
      </c>
      <c r="AA238" s="52" t="s">
        <v>2016</v>
      </c>
      <c r="AB238" s="52" t="s">
        <v>2228</v>
      </c>
      <c r="AC238" s="52" t="s">
        <v>2018</v>
      </c>
      <c r="AD238" s="52" t="s">
        <v>587</v>
      </c>
      <c r="AE238" s="52" t="s">
        <v>2019</v>
      </c>
      <c r="AF238" s="70">
        <v>35059.0</v>
      </c>
      <c r="AG238" s="52">
        <v>30.0</v>
      </c>
      <c r="AH238" s="52" t="s">
        <v>1526</v>
      </c>
      <c r="AI238" s="52" t="s">
        <v>3368</v>
      </c>
      <c r="AJ238" s="52" t="s">
        <v>3369</v>
      </c>
      <c r="AK238" s="52" t="s">
        <v>2022</v>
      </c>
      <c r="AL238" s="52" t="s">
        <v>3370</v>
      </c>
      <c r="AM238" s="52" t="s">
        <v>587</v>
      </c>
      <c r="AN238" s="52" t="s">
        <v>3370</v>
      </c>
      <c r="AO238" s="52" t="s">
        <v>1483</v>
      </c>
      <c r="AP238" s="52">
        <v>21925.0</v>
      </c>
      <c r="AQ238" s="52">
        <v>22525.0</v>
      </c>
      <c r="AR238" s="52" t="s">
        <v>384</v>
      </c>
      <c r="AS238" s="69">
        <v>45699.0</v>
      </c>
      <c r="AT238" s="69">
        <v>45787.0</v>
      </c>
      <c r="AU238" s="69">
        <v>45699.0</v>
      </c>
      <c r="AV238" s="69">
        <v>45787.0</v>
      </c>
      <c r="AW238" s="52" t="s">
        <v>1483</v>
      </c>
      <c r="AX238" s="52" t="s">
        <v>587</v>
      </c>
      <c r="AY238" s="52">
        <v>88.0</v>
      </c>
      <c r="BA238" s="73" t="s">
        <v>3371</v>
      </c>
    </row>
    <row r="239">
      <c r="B239" s="69">
        <v>45699.0</v>
      </c>
      <c r="C239" s="52" t="s">
        <v>1421</v>
      </c>
      <c r="D239" s="52">
        <v>7.9693844E7</v>
      </c>
      <c r="E239" s="52" t="s">
        <v>3372</v>
      </c>
      <c r="F239" s="52" t="s">
        <v>154</v>
      </c>
      <c r="G239" s="52" t="s">
        <v>72</v>
      </c>
      <c r="H239" s="52" t="s">
        <v>1025</v>
      </c>
      <c r="I239" s="52" t="s">
        <v>2805</v>
      </c>
    </row>
    <row r="240">
      <c r="A240" s="52">
        <v>209.0</v>
      </c>
      <c r="B240" s="52" t="s">
        <v>1022</v>
      </c>
      <c r="C240" s="52" t="s">
        <v>2005</v>
      </c>
      <c r="D240" s="52">
        <v>5.2151456E7</v>
      </c>
      <c r="E240" s="52" t="s">
        <v>1908</v>
      </c>
      <c r="F240" s="69">
        <v>45699.0</v>
      </c>
      <c r="G240" s="52" t="s">
        <v>1840</v>
      </c>
      <c r="H240" s="52" t="s">
        <v>2291</v>
      </c>
      <c r="I240" s="52" t="s">
        <v>2177</v>
      </c>
      <c r="J240" s="52" t="s">
        <v>1478</v>
      </c>
      <c r="K240" s="52" t="s">
        <v>2515</v>
      </c>
      <c r="L240" s="52" t="s">
        <v>2010</v>
      </c>
      <c r="N240" s="52" t="s">
        <v>2010</v>
      </c>
      <c r="O240" s="69">
        <v>45694.0</v>
      </c>
      <c r="P240" s="52">
        <v>2.0251700010063E13</v>
      </c>
      <c r="Q240" s="52" t="s">
        <v>2515</v>
      </c>
      <c r="R240" s="69">
        <v>45694.0</v>
      </c>
      <c r="S240" s="52" t="s">
        <v>3373</v>
      </c>
      <c r="T240" s="52" t="s">
        <v>2013</v>
      </c>
      <c r="U240" s="52" t="s">
        <v>3374</v>
      </c>
      <c r="V240" s="52" t="s">
        <v>581</v>
      </c>
      <c r="W240" s="52" t="s">
        <v>1471</v>
      </c>
      <c r="X240" s="52" t="s">
        <v>1030</v>
      </c>
      <c r="Y240" s="52" t="s">
        <v>1023</v>
      </c>
      <c r="Z240" s="52" t="s">
        <v>2015</v>
      </c>
      <c r="AA240" s="52" t="s">
        <v>2016</v>
      </c>
      <c r="AB240" s="52" t="s">
        <v>3375</v>
      </c>
      <c r="AC240" s="52" t="s">
        <v>2033</v>
      </c>
      <c r="AD240" s="52" t="s">
        <v>587</v>
      </c>
      <c r="AE240" s="52" t="s">
        <v>2019</v>
      </c>
      <c r="AF240" s="70">
        <v>29173.0</v>
      </c>
      <c r="AG240" s="52">
        <v>46.0</v>
      </c>
      <c r="AH240" s="52" t="s">
        <v>1479</v>
      </c>
      <c r="AI240" s="52" t="s">
        <v>3376</v>
      </c>
      <c r="AJ240" s="52" t="s">
        <v>3377</v>
      </c>
      <c r="AK240" s="52" t="s">
        <v>2022</v>
      </c>
      <c r="AL240" s="52" t="s">
        <v>1841</v>
      </c>
      <c r="AM240" s="52" t="s">
        <v>1842</v>
      </c>
      <c r="AN240" s="52" t="s">
        <v>1843</v>
      </c>
      <c r="AO240" s="52" t="s">
        <v>1483</v>
      </c>
      <c r="AP240" s="52">
        <v>23025.0</v>
      </c>
      <c r="AQ240" s="52">
        <v>22825.0</v>
      </c>
      <c r="AR240" s="52" t="s">
        <v>77</v>
      </c>
      <c r="AS240" s="69">
        <v>45700.0</v>
      </c>
      <c r="AT240" s="70">
        <v>46022.0</v>
      </c>
      <c r="AU240" s="69">
        <v>45700.0</v>
      </c>
      <c r="AV240" s="70">
        <v>46022.0</v>
      </c>
      <c r="AW240" s="52" t="s">
        <v>1483</v>
      </c>
      <c r="AX240" s="52" t="s">
        <v>587</v>
      </c>
      <c r="AY240" s="52">
        <v>322.0</v>
      </c>
      <c r="BA240" s="73" t="s">
        <v>3378</v>
      </c>
      <c r="BB240" s="69">
        <v>44969.0</v>
      </c>
      <c r="BC240" s="52" t="s">
        <v>2663</v>
      </c>
      <c r="BD240" s="52">
        <v>1.019090785E9</v>
      </c>
      <c r="BE240" s="52" t="s">
        <v>2120</v>
      </c>
      <c r="BF240" s="52" t="s">
        <v>537</v>
      </c>
      <c r="BG240" s="52" t="s">
        <v>2041</v>
      </c>
      <c r="BH240" s="52" t="s">
        <v>1029</v>
      </c>
      <c r="BI240" s="52" t="s">
        <v>2805</v>
      </c>
    </row>
    <row r="241">
      <c r="A241" s="52">
        <v>210.0</v>
      </c>
      <c r="B241" s="52" t="s">
        <v>1026</v>
      </c>
      <c r="C241" s="52" t="s">
        <v>2005</v>
      </c>
      <c r="D241" s="52">
        <v>5.2515178E7</v>
      </c>
      <c r="E241" s="52" t="s">
        <v>1908</v>
      </c>
      <c r="F241" s="69">
        <v>45699.0</v>
      </c>
      <c r="G241" s="52" t="s">
        <v>1028</v>
      </c>
      <c r="H241" s="52" t="s">
        <v>2088</v>
      </c>
      <c r="I241" s="52" t="s">
        <v>2088</v>
      </c>
      <c r="J241" s="52" t="s">
        <v>1478</v>
      </c>
      <c r="K241" s="52" t="s">
        <v>2515</v>
      </c>
      <c r="L241" s="52" t="s">
        <v>2010</v>
      </c>
      <c r="N241" s="52" t="s">
        <v>2010</v>
      </c>
      <c r="O241" s="69">
        <v>45694.0</v>
      </c>
      <c r="P241" s="52">
        <v>2.0251000009953E13</v>
      </c>
      <c r="Q241" s="52" t="s">
        <v>2515</v>
      </c>
      <c r="R241" s="69">
        <v>45694.0</v>
      </c>
      <c r="S241" s="52" t="s">
        <v>3379</v>
      </c>
      <c r="T241" s="52" t="s">
        <v>2013</v>
      </c>
      <c r="U241" s="52" t="s">
        <v>3380</v>
      </c>
      <c r="V241" s="52" t="s">
        <v>581</v>
      </c>
      <c r="W241" s="52" t="s">
        <v>1471</v>
      </c>
      <c r="X241" s="52" t="s">
        <v>1030</v>
      </c>
      <c r="Y241" s="52" t="s">
        <v>1027</v>
      </c>
      <c r="Z241" s="52" t="s">
        <v>2015</v>
      </c>
      <c r="AA241" s="52" t="s">
        <v>2016</v>
      </c>
      <c r="AB241" s="52" t="s">
        <v>2062</v>
      </c>
      <c r="AC241" s="52" t="s">
        <v>2018</v>
      </c>
      <c r="AD241" s="52" t="s">
        <v>587</v>
      </c>
      <c r="AE241" s="52" t="s">
        <v>2019</v>
      </c>
      <c r="AF241" s="70">
        <v>27379.0</v>
      </c>
      <c r="AG241" s="52">
        <v>51.0</v>
      </c>
      <c r="AH241" s="52" t="s">
        <v>1844</v>
      </c>
      <c r="AI241" s="52" t="s">
        <v>3381</v>
      </c>
      <c r="AJ241" s="52" t="s">
        <v>3382</v>
      </c>
      <c r="AK241" s="52" t="s">
        <v>2022</v>
      </c>
      <c r="AL241" s="52" t="s">
        <v>1845</v>
      </c>
      <c r="AM241" s="52" t="s">
        <v>587</v>
      </c>
      <c r="AN241" s="52" t="s">
        <v>1845</v>
      </c>
      <c r="AO241" s="52" t="s">
        <v>1483</v>
      </c>
      <c r="AP241" s="52">
        <v>22925.0</v>
      </c>
      <c r="AQ241" s="52">
        <v>22925.0</v>
      </c>
      <c r="AR241" s="52" t="s">
        <v>152</v>
      </c>
      <c r="AS241" s="69">
        <v>45700.0</v>
      </c>
      <c r="AT241" s="70">
        <v>46002.0</v>
      </c>
      <c r="AU241" s="69">
        <v>45700.0</v>
      </c>
      <c r="AV241" s="70">
        <v>46002.0</v>
      </c>
      <c r="AW241" s="52" t="s">
        <v>1483</v>
      </c>
      <c r="AX241" s="52" t="s">
        <v>587</v>
      </c>
      <c r="AY241" s="52">
        <v>302.0</v>
      </c>
      <c r="BA241" s="73" t="s">
        <v>3383</v>
      </c>
    </row>
    <row r="242">
      <c r="B242" s="69">
        <v>44969.0</v>
      </c>
      <c r="C242" s="52" t="s">
        <v>2663</v>
      </c>
      <c r="D242" s="52">
        <v>1.019090785E9</v>
      </c>
      <c r="E242" s="52" t="s">
        <v>2120</v>
      </c>
      <c r="F242" s="52" t="s">
        <v>537</v>
      </c>
      <c r="G242" s="52" t="s">
        <v>2041</v>
      </c>
      <c r="H242" s="52" t="s">
        <v>1034</v>
      </c>
      <c r="I242" s="52" t="s">
        <v>2805</v>
      </c>
    </row>
    <row r="243">
      <c r="A243" s="52">
        <v>211.0</v>
      </c>
      <c r="B243" s="52" t="s">
        <v>1031</v>
      </c>
      <c r="C243" s="52" t="s">
        <v>2307</v>
      </c>
      <c r="D243" s="52" t="s">
        <v>3384</v>
      </c>
      <c r="E243" s="52" t="s">
        <v>1908</v>
      </c>
      <c r="F243" s="69">
        <v>45702.0</v>
      </c>
      <c r="G243" s="52" t="s">
        <v>1033</v>
      </c>
      <c r="H243" s="52" t="s">
        <v>2363</v>
      </c>
      <c r="I243" s="52" t="s">
        <v>2299</v>
      </c>
      <c r="J243" s="52" t="s">
        <v>1478</v>
      </c>
      <c r="K243" s="52" t="s">
        <v>2029</v>
      </c>
      <c r="L243" s="52" t="s">
        <v>2010</v>
      </c>
      <c r="N243" s="52" t="s">
        <v>1908</v>
      </c>
      <c r="O243" s="69">
        <v>45694.0</v>
      </c>
      <c r="P243" s="52">
        <v>2.0251300007973E13</v>
      </c>
      <c r="Q243" s="52" t="s">
        <v>2029</v>
      </c>
      <c r="R243" s="69">
        <v>45694.0</v>
      </c>
      <c r="S243" s="52" t="s">
        <v>3385</v>
      </c>
      <c r="T243" s="52" t="s">
        <v>2013</v>
      </c>
      <c r="U243" s="52" t="s">
        <v>3386</v>
      </c>
      <c r="V243" s="52" t="s">
        <v>581</v>
      </c>
      <c r="W243" s="52" t="s">
        <v>1555</v>
      </c>
      <c r="X243" s="52" t="s">
        <v>1030</v>
      </c>
      <c r="Y243" s="52" t="s">
        <v>1032</v>
      </c>
      <c r="AA243" s="52" t="s">
        <v>39</v>
      </c>
      <c r="AB243" s="52" t="s">
        <v>39</v>
      </c>
      <c r="AC243" s="52" t="s">
        <v>39</v>
      </c>
      <c r="AD243" s="69">
        <v>45719.0</v>
      </c>
      <c r="AE243" s="52" t="s">
        <v>39</v>
      </c>
      <c r="AF243" s="52" t="s">
        <v>39</v>
      </c>
      <c r="AG243" s="52" t="s">
        <v>2310</v>
      </c>
      <c r="AH243" s="52" t="s">
        <v>39</v>
      </c>
      <c r="AI243" s="52" t="s">
        <v>3387</v>
      </c>
      <c r="AJ243" s="52" t="s">
        <v>3388</v>
      </c>
      <c r="AK243" s="52" t="s">
        <v>2022</v>
      </c>
      <c r="AL243" s="52" t="s">
        <v>1846</v>
      </c>
      <c r="AM243" s="52" t="s">
        <v>587</v>
      </c>
      <c r="AN243" s="52" t="s">
        <v>1846</v>
      </c>
      <c r="AO243" s="52" t="s">
        <v>1483</v>
      </c>
      <c r="AP243" s="52">
        <v>16725.0</v>
      </c>
      <c r="AQ243" s="52">
        <v>25125.0</v>
      </c>
      <c r="AR243" s="52" t="s">
        <v>197</v>
      </c>
      <c r="AS243" s="52" t="s">
        <v>1879</v>
      </c>
      <c r="AT243" s="52" t="s">
        <v>1879</v>
      </c>
      <c r="AU243" s="69">
        <v>45720.0</v>
      </c>
      <c r="AV243" s="70">
        <v>45964.0</v>
      </c>
      <c r="AW243" s="52" t="s">
        <v>1483</v>
      </c>
      <c r="AX243" s="69">
        <v>46126.0</v>
      </c>
      <c r="AY243" s="52">
        <v>244.0</v>
      </c>
      <c r="BA243" s="73" t="s">
        <v>3389</v>
      </c>
      <c r="BB243" s="69">
        <v>45720.0</v>
      </c>
      <c r="BC243" s="52" t="s">
        <v>274</v>
      </c>
      <c r="BD243" s="52">
        <v>5.2328908E7</v>
      </c>
      <c r="BE243" s="52" t="s">
        <v>2321</v>
      </c>
      <c r="BF243" s="52" t="s">
        <v>1168</v>
      </c>
      <c r="BG243" s="52" t="s">
        <v>2041</v>
      </c>
      <c r="BH243" s="52" t="s">
        <v>1038</v>
      </c>
      <c r="BI243" s="52" t="s">
        <v>3390</v>
      </c>
    </row>
    <row r="244">
      <c r="A244" s="52">
        <v>212.0</v>
      </c>
      <c r="B244" s="52" t="s">
        <v>1035</v>
      </c>
      <c r="C244" s="52" t="s">
        <v>2005</v>
      </c>
      <c r="D244" s="52">
        <v>1.013597889E9</v>
      </c>
      <c r="E244" s="52" t="s">
        <v>1908</v>
      </c>
      <c r="F244" s="69">
        <v>45700.0</v>
      </c>
      <c r="G244" s="52" t="s">
        <v>1037</v>
      </c>
      <c r="H244" s="52" t="s">
        <v>2088</v>
      </c>
      <c r="I244" s="52" t="s">
        <v>2088</v>
      </c>
      <c r="J244" s="52" t="s">
        <v>1478</v>
      </c>
      <c r="K244" s="52" t="s">
        <v>2515</v>
      </c>
      <c r="L244" s="52" t="s">
        <v>2010</v>
      </c>
      <c r="N244" s="52" t="s">
        <v>2010</v>
      </c>
      <c r="O244" s="69">
        <v>45694.0</v>
      </c>
      <c r="P244" s="52">
        <v>2.0251000010203E13</v>
      </c>
      <c r="Q244" s="52" t="s">
        <v>2515</v>
      </c>
      <c r="R244" s="69">
        <v>45694.0</v>
      </c>
      <c r="S244" s="52" t="s">
        <v>3391</v>
      </c>
      <c r="T244" s="52" t="s">
        <v>2013</v>
      </c>
      <c r="U244" s="52" t="s">
        <v>3392</v>
      </c>
      <c r="V244" s="52" t="s">
        <v>581</v>
      </c>
      <c r="W244" s="52" t="s">
        <v>1471</v>
      </c>
      <c r="X244" s="52" t="s">
        <v>781</v>
      </c>
      <c r="Y244" s="52" t="s">
        <v>1036</v>
      </c>
      <c r="Z244" s="52" t="s">
        <v>2081</v>
      </c>
      <c r="AA244" s="52" t="s">
        <v>2016</v>
      </c>
      <c r="AB244" s="52" t="s">
        <v>2062</v>
      </c>
      <c r="AC244" s="52" t="s">
        <v>2054</v>
      </c>
      <c r="AD244" s="52" t="s">
        <v>587</v>
      </c>
      <c r="AE244" s="52" t="s">
        <v>2019</v>
      </c>
      <c r="AF244" s="69">
        <v>32345.0</v>
      </c>
      <c r="AG244" s="52">
        <v>37.0</v>
      </c>
      <c r="AH244" s="52" t="s">
        <v>1847</v>
      </c>
      <c r="AI244" s="52" t="s">
        <v>3393</v>
      </c>
      <c r="AJ244" s="52" t="s">
        <v>3394</v>
      </c>
      <c r="AK244" s="52" t="s">
        <v>2022</v>
      </c>
      <c r="AL244" s="52" t="s">
        <v>1848</v>
      </c>
      <c r="AM244" s="52" t="s">
        <v>587</v>
      </c>
      <c r="AN244" s="52" t="s">
        <v>1848</v>
      </c>
      <c r="AO244" s="52" t="s">
        <v>1483</v>
      </c>
      <c r="AP244" s="52">
        <v>23725.0</v>
      </c>
      <c r="AQ244" s="52">
        <v>23525.0</v>
      </c>
      <c r="AR244" s="52" t="s">
        <v>77</v>
      </c>
      <c r="AS244" s="69">
        <v>45701.0</v>
      </c>
      <c r="AT244" s="70">
        <v>46019.0</v>
      </c>
      <c r="AU244" s="69">
        <v>45701.0</v>
      </c>
      <c r="AV244" s="70">
        <v>46018.0</v>
      </c>
      <c r="AW244" s="52" t="s">
        <v>1483</v>
      </c>
      <c r="AX244" s="52" t="s">
        <v>587</v>
      </c>
      <c r="AY244" s="52">
        <v>317.0</v>
      </c>
      <c r="BA244" s="73" t="s">
        <v>3395</v>
      </c>
      <c r="BB244" s="69">
        <v>45701.0</v>
      </c>
      <c r="BC244" s="52" t="s">
        <v>375</v>
      </c>
      <c r="BD244" s="52">
        <v>1.01842287E9</v>
      </c>
      <c r="BE244" s="52" t="s">
        <v>2453</v>
      </c>
      <c r="BF244" s="52" t="s">
        <v>193</v>
      </c>
      <c r="BG244" s="52" t="s">
        <v>2041</v>
      </c>
      <c r="BH244" s="52" t="s">
        <v>1041</v>
      </c>
      <c r="BI244" s="52" t="s">
        <v>2805</v>
      </c>
    </row>
    <row r="245">
      <c r="A245" s="52">
        <v>213.0</v>
      </c>
      <c r="B245" s="52" t="s">
        <v>1039</v>
      </c>
      <c r="C245" s="52" t="s">
        <v>2005</v>
      </c>
      <c r="D245" s="52">
        <v>1.007387735E9</v>
      </c>
      <c r="E245" s="52" t="s">
        <v>1908</v>
      </c>
      <c r="F245" s="69">
        <v>45700.0</v>
      </c>
      <c r="G245" s="52" t="s">
        <v>1040</v>
      </c>
      <c r="H245" s="52" t="s">
        <v>2008</v>
      </c>
      <c r="I245" s="52" t="s">
        <v>2008</v>
      </c>
      <c r="J245" s="52" t="s">
        <v>1470</v>
      </c>
      <c r="K245" s="52" t="s">
        <v>2069</v>
      </c>
      <c r="L245" s="52" t="s">
        <v>2010</v>
      </c>
      <c r="N245" s="52" t="s">
        <v>2010</v>
      </c>
      <c r="O245" s="69">
        <v>45694.0</v>
      </c>
      <c r="P245" s="52">
        <v>2.0251610010303E13</v>
      </c>
      <c r="Q245" s="52" t="s">
        <v>2069</v>
      </c>
      <c r="R245" s="69">
        <v>45695.0</v>
      </c>
      <c r="S245" s="52" t="s">
        <v>3396</v>
      </c>
      <c r="T245" s="52" t="s">
        <v>2013</v>
      </c>
      <c r="U245" s="52" t="s">
        <v>3397</v>
      </c>
      <c r="V245" s="52" t="s">
        <v>581</v>
      </c>
      <c r="W245" s="52" t="s">
        <v>1471</v>
      </c>
      <c r="X245" s="52" t="s">
        <v>1030</v>
      </c>
      <c r="Y245" s="52" t="s">
        <v>841</v>
      </c>
      <c r="Z245" s="52" t="s">
        <v>2081</v>
      </c>
      <c r="AA245" s="52" t="s">
        <v>2054</v>
      </c>
      <c r="AB245" s="52" t="s">
        <v>2062</v>
      </c>
      <c r="AC245" s="52" t="s">
        <v>2033</v>
      </c>
      <c r="AD245" s="52" t="s">
        <v>587</v>
      </c>
      <c r="AE245" s="52" t="s">
        <v>3398</v>
      </c>
      <c r="AF245" s="70">
        <v>37236.0</v>
      </c>
      <c r="AG245" s="52">
        <v>24.0</v>
      </c>
      <c r="AH245" s="52" t="s">
        <v>1526</v>
      </c>
      <c r="AI245" s="52" t="s">
        <v>3399</v>
      </c>
      <c r="AJ245" s="52" t="s">
        <v>3400</v>
      </c>
      <c r="AK245" s="52" t="s">
        <v>2022</v>
      </c>
      <c r="AL245" s="52" t="s">
        <v>1850</v>
      </c>
      <c r="AM245" s="52" t="s">
        <v>587</v>
      </c>
      <c r="AN245" s="52" t="s">
        <v>1850</v>
      </c>
      <c r="AO245" s="52" t="s">
        <v>1483</v>
      </c>
      <c r="AP245" s="52">
        <v>22525.0</v>
      </c>
      <c r="AQ245" s="52">
        <v>23825.0</v>
      </c>
      <c r="AR245" s="52" t="s">
        <v>91</v>
      </c>
      <c r="AS245" s="69">
        <v>45701.0</v>
      </c>
      <c r="AT245" s="70">
        <v>46022.0</v>
      </c>
      <c r="AU245" s="69">
        <v>45701.0</v>
      </c>
      <c r="AV245" s="70">
        <v>46022.0</v>
      </c>
      <c r="AW245" s="52" t="s">
        <v>1483</v>
      </c>
      <c r="AX245" s="52" t="s">
        <v>587</v>
      </c>
      <c r="AY245" s="52">
        <v>321.0</v>
      </c>
      <c r="BA245" s="73" t="s">
        <v>3401</v>
      </c>
      <c r="BB245" s="69">
        <v>45701.0</v>
      </c>
      <c r="BC245" s="52" t="s">
        <v>217</v>
      </c>
      <c r="BD245" s="52">
        <v>7.1338113E7</v>
      </c>
      <c r="BE245" s="52" t="s">
        <v>2248</v>
      </c>
      <c r="BF245" s="52" t="s">
        <v>165</v>
      </c>
      <c r="BG245" s="52" t="s">
        <v>2041</v>
      </c>
      <c r="BH245" s="52" t="s">
        <v>1045</v>
      </c>
      <c r="BI245" s="52" t="s">
        <v>2805</v>
      </c>
    </row>
    <row r="246">
      <c r="A246" s="52">
        <v>214.0</v>
      </c>
      <c r="B246" s="52" t="s">
        <v>1042</v>
      </c>
      <c r="C246" s="52" t="s">
        <v>2005</v>
      </c>
      <c r="D246" s="52">
        <v>5.2802056E7</v>
      </c>
      <c r="E246" s="52" t="s">
        <v>1908</v>
      </c>
      <c r="F246" s="69">
        <v>45700.0</v>
      </c>
      <c r="G246" s="52" t="s">
        <v>1044</v>
      </c>
      <c r="H246" s="52" t="s">
        <v>2088</v>
      </c>
      <c r="I246" s="52" t="s">
        <v>2088</v>
      </c>
      <c r="J246" s="52" t="s">
        <v>1478</v>
      </c>
      <c r="K246" s="52" t="s">
        <v>2515</v>
      </c>
      <c r="L246" s="52" t="s">
        <v>2010</v>
      </c>
      <c r="N246" s="52" t="s">
        <v>2010</v>
      </c>
      <c r="O246" s="69">
        <v>45695.0</v>
      </c>
      <c r="P246" s="52">
        <v>2.0251000010393E13</v>
      </c>
      <c r="Q246" s="52" t="s">
        <v>2515</v>
      </c>
      <c r="R246" s="69">
        <v>45695.0</v>
      </c>
      <c r="S246" s="52" t="s">
        <v>3402</v>
      </c>
      <c r="T246" s="52" t="s">
        <v>2013</v>
      </c>
      <c r="U246" s="52" t="s">
        <v>3403</v>
      </c>
      <c r="V246" s="52" t="s">
        <v>581</v>
      </c>
      <c r="W246" s="52" t="s">
        <v>1471</v>
      </c>
      <c r="X246" s="52" t="s">
        <v>1030</v>
      </c>
      <c r="Y246" s="52" t="s">
        <v>1043</v>
      </c>
      <c r="Z246" s="52" t="s">
        <v>2015</v>
      </c>
      <c r="AA246" s="52" t="s">
        <v>2882</v>
      </c>
      <c r="AB246" s="52" t="s">
        <v>2017</v>
      </c>
      <c r="AC246" s="52" t="s">
        <v>2114</v>
      </c>
      <c r="AD246" s="52" t="s">
        <v>587</v>
      </c>
      <c r="AE246" s="52" t="s">
        <v>2019</v>
      </c>
      <c r="AF246" s="69">
        <v>29420.0</v>
      </c>
      <c r="AG246" s="52">
        <v>45.0</v>
      </c>
      <c r="AH246" s="52" t="s">
        <v>1834</v>
      </c>
      <c r="AI246" s="52" t="s">
        <v>3404</v>
      </c>
      <c r="AJ246" s="52" t="s">
        <v>3405</v>
      </c>
      <c r="AK246" s="52" t="s">
        <v>2022</v>
      </c>
      <c r="AL246" s="52" t="s">
        <v>1851</v>
      </c>
      <c r="AM246" s="52" t="s">
        <v>1852</v>
      </c>
      <c r="AN246" s="52" t="s">
        <v>1853</v>
      </c>
      <c r="AO246" s="52" t="s">
        <v>1483</v>
      </c>
      <c r="AP246" s="52">
        <v>22825.0</v>
      </c>
      <c r="AQ246" s="52">
        <v>23925.0</v>
      </c>
      <c r="AR246" s="52" t="s">
        <v>77</v>
      </c>
      <c r="AS246" s="69">
        <v>45701.0</v>
      </c>
      <c r="AT246" s="70">
        <v>46022.0</v>
      </c>
      <c r="AU246" s="69">
        <v>45701.0</v>
      </c>
      <c r="AV246" s="70">
        <v>46022.0</v>
      </c>
      <c r="AW246" s="52" t="s">
        <v>1483</v>
      </c>
      <c r="AX246" s="52" t="s">
        <v>587</v>
      </c>
      <c r="AY246" s="52">
        <v>321.0</v>
      </c>
      <c r="BA246" s="73" t="s">
        <v>3406</v>
      </c>
      <c r="BB246" s="69">
        <v>45701.0</v>
      </c>
      <c r="BC246" s="52" t="s">
        <v>2663</v>
      </c>
      <c r="BD246" s="52">
        <v>1.019090785E9</v>
      </c>
      <c r="BE246" s="52" t="s">
        <v>2120</v>
      </c>
      <c r="BF246" s="52" t="s">
        <v>537</v>
      </c>
      <c r="BG246" s="52" t="s">
        <v>2041</v>
      </c>
      <c r="BH246" s="52" t="s">
        <v>1049</v>
      </c>
      <c r="BI246" s="52" t="s">
        <v>2805</v>
      </c>
    </row>
    <row r="247">
      <c r="A247" s="52">
        <v>215.0</v>
      </c>
      <c r="B247" s="52" t="s">
        <v>1046</v>
      </c>
      <c r="C247" s="52" t="s">
        <v>2005</v>
      </c>
      <c r="D247" s="52">
        <v>1.070969778E9</v>
      </c>
      <c r="E247" s="52" t="s">
        <v>1908</v>
      </c>
      <c r="F247" s="69">
        <v>45700.0</v>
      </c>
      <c r="G247" s="52" t="s">
        <v>1048</v>
      </c>
      <c r="H247" s="52" t="s">
        <v>2088</v>
      </c>
      <c r="I247" s="52" t="s">
        <v>2088</v>
      </c>
      <c r="J247" s="52" t="s">
        <v>1478</v>
      </c>
      <c r="K247" s="52" t="s">
        <v>2515</v>
      </c>
      <c r="L247" s="52" t="s">
        <v>2010</v>
      </c>
      <c r="N247" s="52" t="s">
        <v>2010</v>
      </c>
      <c r="O247" s="69">
        <v>45695.0</v>
      </c>
      <c r="P247" s="52">
        <v>2.0251000010523E13</v>
      </c>
      <c r="Q247" s="52" t="s">
        <v>2515</v>
      </c>
      <c r="R247" s="69">
        <v>45696.0</v>
      </c>
      <c r="S247" s="52" t="s">
        <v>3407</v>
      </c>
      <c r="T247" s="52" t="s">
        <v>2013</v>
      </c>
      <c r="U247" s="52" t="s">
        <v>3408</v>
      </c>
      <c r="V247" s="52" t="s">
        <v>581</v>
      </c>
      <c r="W247" s="52" t="s">
        <v>1471</v>
      </c>
      <c r="X247" s="52" t="s">
        <v>1030</v>
      </c>
      <c r="Y247" s="52" t="s">
        <v>1047</v>
      </c>
      <c r="Z247" s="52" t="s">
        <v>2081</v>
      </c>
      <c r="AA247" s="52" t="s">
        <v>2882</v>
      </c>
      <c r="AB247" s="52" t="s">
        <v>2062</v>
      </c>
      <c r="AC247" s="52" t="s">
        <v>2082</v>
      </c>
      <c r="AD247" s="52" t="s">
        <v>587</v>
      </c>
      <c r="AE247" s="52" t="s">
        <v>3409</v>
      </c>
      <c r="AF247" s="69">
        <v>34424.0</v>
      </c>
      <c r="AG247" s="52">
        <v>31.0</v>
      </c>
      <c r="AH247" s="52" t="s">
        <v>1724</v>
      </c>
      <c r="AI247" s="52" t="s">
        <v>3410</v>
      </c>
      <c r="AJ247" s="52" t="s">
        <v>3411</v>
      </c>
      <c r="AK247" s="52" t="s">
        <v>2022</v>
      </c>
      <c r="AL247" s="52" t="s">
        <v>1585</v>
      </c>
      <c r="AM247" s="52" t="s">
        <v>1854</v>
      </c>
      <c r="AN247" s="52" t="s">
        <v>1855</v>
      </c>
      <c r="AO247" s="52" t="s">
        <v>1483</v>
      </c>
      <c r="AP247" s="52">
        <v>25325.0</v>
      </c>
      <c r="AQ247" s="52">
        <v>23625.0</v>
      </c>
      <c r="AR247" s="52" t="s">
        <v>98</v>
      </c>
      <c r="AS247" s="69">
        <v>45701.0</v>
      </c>
      <c r="AT247" s="70">
        <v>46018.0</v>
      </c>
      <c r="AU247" s="69">
        <v>45701.0</v>
      </c>
      <c r="AV247" s="70">
        <v>46018.0</v>
      </c>
      <c r="AW247" s="52" t="s">
        <v>1483</v>
      </c>
      <c r="AX247" s="52" t="s">
        <v>587</v>
      </c>
      <c r="AY247" s="52">
        <v>317.0</v>
      </c>
      <c r="BA247" s="73" t="s">
        <v>3412</v>
      </c>
      <c r="BB247" s="69">
        <v>45701.0</v>
      </c>
      <c r="BC247" s="52" t="s">
        <v>2663</v>
      </c>
      <c r="BD247" s="52">
        <v>1.019090785E9</v>
      </c>
      <c r="BE247" s="52" t="s">
        <v>2120</v>
      </c>
      <c r="BF247" s="52" t="s">
        <v>537</v>
      </c>
      <c r="BG247" s="52" t="s">
        <v>2041</v>
      </c>
      <c r="BH247" s="52" t="s">
        <v>1053</v>
      </c>
      <c r="BI247" s="52" t="s">
        <v>2805</v>
      </c>
    </row>
    <row r="248">
      <c r="A248" s="52">
        <v>216.0</v>
      </c>
      <c r="B248" s="52" t="s">
        <v>1050</v>
      </c>
      <c r="C248" s="52" t="s">
        <v>2005</v>
      </c>
      <c r="D248" s="52">
        <v>1.033711205E9</v>
      </c>
      <c r="E248" s="52" t="s">
        <v>1908</v>
      </c>
      <c r="F248" s="69">
        <v>45699.0</v>
      </c>
      <c r="G248" s="52" t="s">
        <v>1052</v>
      </c>
      <c r="H248" s="52" t="s">
        <v>2291</v>
      </c>
      <c r="I248" s="52" t="s">
        <v>2088</v>
      </c>
      <c r="J248" s="52" t="s">
        <v>1478</v>
      </c>
      <c r="K248" s="52" t="s">
        <v>2612</v>
      </c>
      <c r="L248" s="52" t="s">
        <v>2010</v>
      </c>
      <c r="N248" s="52" t="s">
        <v>2010</v>
      </c>
      <c r="O248" s="69">
        <v>45695.0</v>
      </c>
      <c r="P248" s="52">
        <v>2.0251020010563E13</v>
      </c>
      <c r="Q248" s="52" t="s">
        <v>2612</v>
      </c>
      <c r="R248" s="69">
        <v>45696.0</v>
      </c>
      <c r="S248" s="52" t="s">
        <v>3413</v>
      </c>
      <c r="T248" s="52" t="s">
        <v>2013</v>
      </c>
      <c r="U248" s="52" t="s">
        <v>3414</v>
      </c>
      <c r="V248" s="52" t="s">
        <v>581</v>
      </c>
      <c r="W248" s="52" t="s">
        <v>1471</v>
      </c>
      <c r="X248" s="52" t="s">
        <v>1030</v>
      </c>
      <c r="Y248" s="52" t="s">
        <v>1051</v>
      </c>
      <c r="Z248" s="52" t="s">
        <v>2015</v>
      </c>
      <c r="AA248" s="52" t="s">
        <v>2882</v>
      </c>
      <c r="AB248" s="52" t="s">
        <v>2062</v>
      </c>
      <c r="AC248" s="52" t="s">
        <v>2018</v>
      </c>
      <c r="AD248" s="52" t="s">
        <v>587</v>
      </c>
      <c r="AE248" s="52" t="s">
        <v>2019</v>
      </c>
      <c r="AF248" s="69">
        <v>32690.0</v>
      </c>
      <c r="AG248" s="52">
        <v>36.0</v>
      </c>
      <c r="AH248" s="52" t="s">
        <v>1479</v>
      </c>
      <c r="AI248" s="52" t="s">
        <v>3415</v>
      </c>
      <c r="AJ248" s="52" t="s">
        <v>3416</v>
      </c>
      <c r="AK248" s="52" t="s">
        <v>2022</v>
      </c>
      <c r="AL248" s="52" t="s">
        <v>3417</v>
      </c>
      <c r="AM248" s="52" t="s">
        <v>587</v>
      </c>
      <c r="AN248" s="52" t="s">
        <v>3417</v>
      </c>
      <c r="AO248" s="52" t="s">
        <v>1483</v>
      </c>
      <c r="AP248" s="52">
        <v>15725.0</v>
      </c>
      <c r="AQ248" s="52">
        <v>23225.0</v>
      </c>
      <c r="AR248" s="52" t="s">
        <v>77</v>
      </c>
      <c r="AS248" s="69">
        <v>45701.0</v>
      </c>
      <c r="AT248" s="70">
        <v>45943.0</v>
      </c>
      <c r="AU248" s="69">
        <v>45701.0</v>
      </c>
      <c r="AV248" s="70">
        <v>45942.0</v>
      </c>
      <c r="AW248" s="52" t="s">
        <v>1483</v>
      </c>
      <c r="AX248" s="52" t="s">
        <v>587</v>
      </c>
      <c r="AY248" s="52">
        <v>241.0</v>
      </c>
      <c r="BA248" s="73" t="s">
        <v>3418</v>
      </c>
      <c r="BB248" s="69">
        <v>45700.0</v>
      </c>
      <c r="BC248" s="52" t="s">
        <v>500</v>
      </c>
      <c r="BD248" s="52">
        <v>7.9589657E7</v>
      </c>
      <c r="BE248" s="52" t="s">
        <v>2618</v>
      </c>
      <c r="BF248" s="52" t="s">
        <v>258</v>
      </c>
      <c r="BG248" s="52" t="s">
        <v>72</v>
      </c>
      <c r="BH248" s="52" t="s">
        <v>1057</v>
      </c>
      <c r="BI248" s="52" t="s">
        <v>2805</v>
      </c>
    </row>
    <row r="249">
      <c r="A249" s="52">
        <v>217.0</v>
      </c>
      <c r="B249" s="52" t="s">
        <v>1054</v>
      </c>
      <c r="C249" s="52" t="s">
        <v>2005</v>
      </c>
      <c r="D249" s="52">
        <v>1.010233207E9</v>
      </c>
      <c r="E249" s="52" t="s">
        <v>1908</v>
      </c>
      <c r="F249" s="69">
        <v>45700.0</v>
      </c>
      <c r="G249" s="52" t="s">
        <v>1056</v>
      </c>
      <c r="H249" s="52" t="s">
        <v>2143</v>
      </c>
      <c r="I249" s="52" t="s">
        <v>2143</v>
      </c>
      <c r="J249" s="52" t="s">
        <v>1478</v>
      </c>
      <c r="K249" s="52" t="s">
        <v>2029</v>
      </c>
      <c r="L249" s="52" t="s">
        <v>2010</v>
      </c>
      <c r="N249" s="52" t="s">
        <v>2010</v>
      </c>
      <c r="O249" s="69">
        <v>45699.0</v>
      </c>
      <c r="P249" s="52">
        <v>2.0251010010873E13</v>
      </c>
      <c r="Q249" s="52" t="s">
        <v>2029</v>
      </c>
      <c r="R249" s="69">
        <v>45699.0</v>
      </c>
      <c r="S249" s="52" t="s">
        <v>3419</v>
      </c>
      <c r="T249" s="52" t="s">
        <v>2013</v>
      </c>
      <c r="U249" s="52" t="s">
        <v>3420</v>
      </c>
      <c r="V249" s="52" t="s">
        <v>581</v>
      </c>
      <c r="W249" s="52" t="s">
        <v>1471</v>
      </c>
      <c r="X249" s="52" t="s">
        <v>1030</v>
      </c>
      <c r="Y249" s="52" t="s">
        <v>1055</v>
      </c>
      <c r="Z249" s="52" t="s">
        <v>2015</v>
      </c>
      <c r="AA249" s="52" t="s">
        <v>2882</v>
      </c>
      <c r="AB249" s="52" t="s">
        <v>2017</v>
      </c>
      <c r="AC249" s="52" t="s">
        <v>2054</v>
      </c>
      <c r="AD249" s="52" t="s">
        <v>587</v>
      </c>
      <c r="AE249" s="52" t="s">
        <v>3421</v>
      </c>
      <c r="AF249" s="69">
        <v>35527.0</v>
      </c>
      <c r="AG249" s="52">
        <v>28.0</v>
      </c>
      <c r="AH249" s="52" t="s">
        <v>1507</v>
      </c>
      <c r="AI249" s="52" t="s">
        <v>3422</v>
      </c>
      <c r="AJ249" s="52" t="s">
        <v>3423</v>
      </c>
      <c r="AK249" s="52" t="s">
        <v>2022</v>
      </c>
      <c r="AL249" s="52" t="s">
        <v>1856</v>
      </c>
      <c r="AM249" s="52" t="s">
        <v>587</v>
      </c>
      <c r="AN249" s="52" t="s">
        <v>1856</v>
      </c>
      <c r="AO249" s="52" t="s">
        <v>1483</v>
      </c>
      <c r="AP249" s="52">
        <v>24325.0</v>
      </c>
      <c r="AQ249" s="52">
        <v>24025.0</v>
      </c>
      <c r="AR249" s="52" t="s">
        <v>203</v>
      </c>
      <c r="AS249" s="69">
        <v>45702.0</v>
      </c>
      <c r="AT249" s="70">
        <v>46022.0</v>
      </c>
      <c r="AU249" s="69">
        <v>45702.0</v>
      </c>
      <c r="AV249" s="70">
        <v>46021.0</v>
      </c>
      <c r="AW249" s="52" t="s">
        <v>1483</v>
      </c>
      <c r="AX249" s="52" t="s">
        <v>587</v>
      </c>
      <c r="AY249" s="52">
        <v>319.0</v>
      </c>
      <c r="BA249" s="73" t="s">
        <v>3424</v>
      </c>
      <c r="BB249" s="69">
        <v>45702.0</v>
      </c>
      <c r="BC249" s="52" t="s">
        <v>127</v>
      </c>
      <c r="BD249" s="52">
        <v>8.3169069E7</v>
      </c>
      <c r="BE249" s="52" t="s">
        <v>2150</v>
      </c>
      <c r="BF249" s="52" t="s">
        <v>205</v>
      </c>
      <c r="BG249" s="52" t="s">
        <v>2041</v>
      </c>
      <c r="BH249" s="52" t="s">
        <v>1061</v>
      </c>
      <c r="BI249" s="52" t="s">
        <v>2805</v>
      </c>
    </row>
    <row r="250">
      <c r="A250" s="52">
        <v>218.0</v>
      </c>
      <c r="B250" s="52" t="s">
        <v>1058</v>
      </c>
      <c r="C250" s="52" t="s">
        <v>2005</v>
      </c>
      <c r="D250" s="52">
        <v>1.128431532E9</v>
      </c>
      <c r="E250" s="52" t="s">
        <v>1908</v>
      </c>
      <c r="F250" s="69">
        <v>45701.0</v>
      </c>
      <c r="G250" s="52" t="s">
        <v>1060</v>
      </c>
      <c r="H250" s="52" t="s">
        <v>2177</v>
      </c>
      <c r="I250" s="52" t="s">
        <v>2088</v>
      </c>
      <c r="J250" s="52" t="s">
        <v>1478</v>
      </c>
      <c r="K250" s="52" t="s">
        <v>2515</v>
      </c>
      <c r="L250" s="52" t="s">
        <v>2010</v>
      </c>
      <c r="N250" s="52" t="s">
        <v>2010</v>
      </c>
      <c r="O250" s="69">
        <v>45699.0</v>
      </c>
      <c r="P250" s="52">
        <v>2.0251700010893E13</v>
      </c>
      <c r="Q250" s="52" t="s">
        <v>2515</v>
      </c>
      <c r="R250" s="69">
        <v>45699.0</v>
      </c>
      <c r="S250" s="52" t="s">
        <v>3425</v>
      </c>
      <c r="T250" s="52" t="s">
        <v>2013</v>
      </c>
      <c r="U250" s="52" t="s">
        <v>3426</v>
      </c>
      <c r="V250" s="52" t="s">
        <v>581</v>
      </c>
      <c r="W250" s="52" t="s">
        <v>1471</v>
      </c>
      <c r="X250" s="52" t="s">
        <v>1030</v>
      </c>
      <c r="Y250" s="52" t="s">
        <v>1059</v>
      </c>
      <c r="Z250" s="52" t="s">
        <v>2015</v>
      </c>
      <c r="AA250" s="52" t="s">
        <v>2882</v>
      </c>
      <c r="AB250" s="52" t="s">
        <v>2032</v>
      </c>
      <c r="AC250" s="52" t="s">
        <v>2054</v>
      </c>
      <c r="AD250" s="52" t="s">
        <v>587</v>
      </c>
      <c r="AE250" s="52" t="s">
        <v>3427</v>
      </c>
      <c r="AF250" s="70">
        <v>32852.0</v>
      </c>
      <c r="AG250" s="52">
        <v>36.0</v>
      </c>
      <c r="AH250" s="52" t="s">
        <v>1757</v>
      </c>
      <c r="AI250" s="52" t="s">
        <v>3428</v>
      </c>
      <c r="AJ250" s="52" t="s">
        <v>3429</v>
      </c>
      <c r="AK250" s="52" t="s">
        <v>2022</v>
      </c>
      <c r="AL250" s="52" t="s">
        <v>1857</v>
      </c>
      <c r="AM250" s="52" t="s">
        <v>1604</v>
      </c>
      <c r="AN250" s="52" t="s">
        <v>1858</v>
      </c>
      <c r="AO250" s="52" t="s">
        <v>1483</v>
      </c>
      <c r="AP250" s="52">
        <v>24125.0</v>
      </c>
      <c r="AQ250" s="52">
        <v>24725.0</v>
      </c>
      <c r="AR250" s="52" t="s">
        <v>1201</v>
      </c>
      <c r="AS250" s="69">
        <v>45702.0</v>
      </c>
      <c r="AT250" s="70">
        <v>46022.0</v>
      </c>
      <c r="AU250" s="69">
        <v>45705.0</v>
      </c>
      <c r="AV250" s="70">
        <v>46022.0</v>
      </c>
      <c r="AW250" s="52" t="s">
        <v>1483</v>
      </c>
      <c r="AX250" s="52" t="s">
        <v>587</v>
      </c>
      <c r="AY250" s="52">
        <v>317.0</v>
      </c>
      <c r="BA250" s="73" t="s">
        <v>3430</v>
      </c>
      <c r="BB250" s="69">
        <v>45705.0</v>
      </c>
      <c r="BC250" s="52" t="s">
        <v>1202</v>
      </c>
      <c r="BD250" s="52">
        <v>9.8473797E7</v>
      </c>
      <c r="BE250" s="52" t="s">
        <v>2968</v>
      </c>
      <c r="BF250" s="52" t="s">
        <v>390</v>
      </c>
      <c r="BG250" s="52" t="s">
        <v>2041</v>
      </c>
      <c r="BH250" s="52" t="s">
        <v>1065</v>
      </c>
      <c r="BI250" s="52" t="s">
        <v>2805</v>
      </c>
    </row>
    <row r="251">
      <c r="A251" s="52">
        <v>219.0</v>
      </c>
      <c r="B251" s="52" t="s">
        <v>1062</v>
      </c>
      <c r="C251" s="52" t="s">
        <v>2005</v>
      </c>
      <c r="D251" s="52">
        <v>1.032484145E9</v>
      </c>
      <c r="E251" s="52" t="s">
        <v>1908</v>
      </c>
      <c r="F251" s="69">
        <v>45701.0</v>
      </c>
      <c r="G251" s="52" t="s">
        <v>1064</v>
      </c>
      <c r="H251" s="52" t="s">
        <v>2068</v>
      </c>
      <c r="I251" s="52" t="s">
        <v>2068</v>
      </c>
      <c r="J251" s="52" t="s">
        <v>1478</v>
      </c>
      <c r="K251" s="52" t="s">
        <v>2059</v>
      </c>
      <c r="L251" s="52" t="s">
        <v>2010</v>
      </c>
      <c r="N251" s="52" t="s">
        <v>2010</v>
      </c>
      <c r="O251" s="69">
        <v>45700.0</v>
      </c>
      <c r="P251" s="52">
        <v>2.0251900011003E13</v>
      </c>
      <c r="Q251" s="52" t="s">
        <v>2059</v>
      </c>
      <c r="R251" s="69">
        <v>45700.0</v>
      </c>
      <c r="S251" s="52" t="s">
        <v>3431</v>
      </c>
      <c r="T251" s="52" t="s">
        <v>2013</v>
      </c>
      <c r="U251" s="52" t="s">
        <v>3432</v>
      </c>
      <c r="V251" s="52" t="s">
        <v>581</v>
      </c>
      <c r="W251" s="52" t="s">
        <v>1471</v>
      </c>
      <c r="X251" s="52" t="s">
        <v>1030</v>
      </c>
      <c r="Y251" s="52" t="s">
        <v>1063</v>
      </c>
      <c r="Z251" s="52" t="s">
        <v>2015</v>
      </c>
      <c r="AA251" s="52" t="s">
        <v>2882</v>
      </c>
      <c r="AB251" s="52" t="s">
        <v>2032</v>
      </c>
      <c r="AC251" s="52" t="s">
        <v>2114</v>
      </c>
      <c r="AD251" s="52" t="s">
        <v>587</v>
      </c>
      <c r="AE251" s="52" t="s">
        <v>2019</v>
      </c>
      <c r="AF251" s="69">
        <v>35280.0</v>
      </c>
      <c r="AG251" s="52">
        <v>29.0</v>
      </c>
      <c r="AH251" s="52" t="s">
        <v>1507</v>
      </c>
      <c r="AI251" s="52" t="s">
        <v>3433</v>
      </c>
      <c r="AJ251" s="52" t="s">
        <v>3434</v>
      </c>
      <c r="AK251" s="52" t="s">
        <v>2022</v>
      </c>
      <c r="AL251" s="52" t="s">
        <v>1859</v>
      </c>
      <c r="AM251" s="52" t="s">
        <v>587</v>
      </c>
      <c r="AN251" s="52" t="s">
        <v>1859</v>
      </c>
      <c r="AO251" s="52" t="s">
        <v>1483</v>
      </c>
      <c r="AP251" s="52">
        <v>25625.0</v>
      </c>
      <c r="AQ251" s="52">
        <v>24125.0</v>
      </c>
      <c r="AR251" s="52" t="s">
        <v>367</v>
      </c>
      <c r="AS251" s="69">
        <v>45702.0</v>
      </c>
      <c r="AT251" s="70">
        <v>46020.0</v>
      </c>
      <c r="AU251" s="69">
        <v>45702.0</v>
      </c>
      <c r="AV251" s="70">
        <v>46019.0</v>
      </c>
      <c r="AW251" s="52" t="s">
        <v>1483</v>
      </c>
      <c r="AX251" s="52" t="s">
        <v>587</v>
      </c>
      <c r="AY251" s="52">
        <v>317.0</v>
      </c>
      <c r="BA251" s="73" t="s">
        <v>3435</v>
      </c>
      <c r="BB251" s="69">
        <v>45702.0</v>
      </c>
      <c r="BC251" s="52" t="s">
        <v>1207</v>
      </c>
      <c r="BD251" s="52">
        <v>7.995206E7</v>
      </c>
      <c r="BE251" s="52" t="s">
        <v>3436</v>
      </c>
      <c r="BF251" s="52" t="s">
        <v>223</v>
      </c>
      <c r="BG251" s="52" t="s">
        <v>2041</v>
      </c>
      <c r="BH251" s="52" t="s">
        <v>1068</v>
      </c>
      <c r="BI251" s="52" t="s">
        <v>2805</v>
      </c>
    </row>
    <row r="252">
      <c r="A252" s="52">
        <v>220.0</v>
      </c>
      <c r="B252" s="52" t="s">
        <v>1066</v>
      </c>
      <c r="C252" s="52" t="s">
        <v>2005</v>
      </c>
      <c r="D252" s="52">
        <v>1.113638043E9</v>
      </c>
      <c r="E252" s="52" t="s">
        <v>1908</v>
      </c>
      <c r="F252" s="69">
        <v>45701.0</v>
      </c>
      <c r="G252" s="52" t="s">
        <v>1067</v>
      </c>
      <c r="H252" s="52" t="s">
        <v>2008</v>
      </c>
      <c r="I252" s="52" t="s">
        <v>2008</v>
      </c>
      <c r="J252" s="52" t="s">
        <v>1470</v>
      </c>
      <c r="K252" s="52" t="s">
        <v>2098</v>
      </c>
      <c r="L252" s="52" t="s">
        <v>2010</v>
      </c>
      <c r="N252" s="52" t="s">
        <v>2010</v>
      </c>
      <c r="O252" s="69">
        <v>45700.0</v>
      </c>
      <c r="P252" s="52">
        <v>2.0251610011023E13</v>
      </c>
      <c r="Q252" s="52" t="s">
        <v>2098</v>
      </c>
      <c r="R252" s="69">
        <v>45700.0</v>
      </c>
      <c r="S252" s="52" t="s">
        <v>3437</v>
      </c>
      <c r="T252" s="52" t="s">
        <v>2013</v>
      </c>
      <c r="U252" s="52" t="s">
        <v>3438</v>
      </c>
      <c r="V252" s="52" t="s">
        <v>581</v>
      </c>
      <c r="W252" s="52" t="s">
        <v>1471</v>
      </c>
      <c r="X252" s="52" t="s">
        <v>1030</v>
      </c>
      <c r="Y252" s="52" t="s">
        <v>1015</v>
      </c>
      <c r="Z252" s="52" t="s">
        <v>2015</v>
      </c>
      <c r="AA252" s="52" t="s">
        <v>2054</v>
      </c>
      <c r="AB252" s="52" t="s">
        <v>2062</v>
      </c>
      <c r="AC252" s="52" t="s">
        <v>2840</v>
      </c>
      <c r="AD252" s="52" t="s">
        <v>587</v>
      </c>
      <c r="AE252" s="52" t="s">
        <v>3439</v>
      </c>
      <c r="AF252" s="69">
        <v>32571.0</v>
      </c>
      <c r="AG252" s="52">
        <v>36.0</v>
      </c>
      <c r="AH252" s="52" t="s">
        <v>1860</v>
      </c>
      <c r="AI252" s="52" t="s">
        <v>3440</v>
      </c>
      <c r="AJ252" s="52" t="s">
        <v>3441</v>
      </c>
      <c r="AK252" s="52" t="s">
        <v>2022</v>
      </c>
      <c r="AL252" s="52" t="s">
        <v>1861</v>
      </c>
      <c r="AM252" s="52" t="s">
        <v>587</v>
      </c>
      <c r="AN252" s="52" t="s">
        <v>1861</v>
      </c>
      <c r="AO252" s="52" t="s">
        <v>1483</v>
      </c>
      <c r="AP252" s="52">
        <v>25025.0</v>
      </c>
      <c r="AQ252" s="52">
        <v>24425.0</v>
      </c>
      <c r="AR252" s="52" t="s">
        <v>91</v>
      </c>
      <c r="AS252" s="69">
        <v>45702.0</v>
      </c>
      <c r="AT252" s="70">
        <v>46022.0</v>
      </c>
      <c r="AU252" s="69">
        <v>45702.0</v>
      </c>
      <c r="AV252" s="70">
        <v>46022.0</v>
      </c>
      <c r="AW252" s="52" t="s">
        <v>1483</v>
      </c>
      <c r="AX252" s="52" t="s">
        <v>587</v>
      </c>
      <c r="AY252" s="52">
        <v>320.0</v>
      </c>
      <c r="BA252" s="73" t="s">
        <v>3442</v>
      </c>
      <c r="BB252" s="69">
        <v>45702.0</v>
      </c>
      <c r="BC252" s="52" t="s">
        <v>874</v>
      </c>
      <c r="BD252" s="52">
        <v>9.3385859E7</v>
      </c>
      <c r="BE252" s="52" t="s">
        <v>3134</v>
      </c>
      <c r="BF252" s="52" t="s">
        <v>165</v>
      </c>
      <c r="BG252" s="52" t="s">
        <v>2041</v>
      </c>
      <c r="BH252" s="52" t="s">
        <v>1072</v>
      </c>
      <c r="BI252" s="52" t="s">
        <v>2805</v>
      </c>
    </row>
    <row r="253">
      <c r="A253" s="52">
        <v>221.0</v>
      </c>
      <c r="B253" s="52" t="s">
        <v>1069</v>
      </c>
      <c r="C253" s="52" t="s">
        <v>2005</v>
      </c>
      <c r="D253" s="52">
        <v>1.088340956E9</v>
      </c>
      <c r="E253" s="52" t="s">
        <v>1908</v>
      </c>
      <c r="F253" s="69">
        <v>45701.0</v>
      </c>
      <c r="G253" s="52" t="s">
        <v>1071</v>
      </c>
      <c r="H253" s="52" t="s">
        <v>2008</v>
      </c>
      <c r="I253" s="52" t="s">
        <v>2008</v>
      </c>
      <c r="J253" s="52" t="s">
        <v>1470</v>
      </c>
      <c r="K253" s="52" t="s">
        <v>2098</v>
      </c>
      <c r="L253" s="52" t="s">
        <v>2010</v>
      </c>
      <c r="N253" s="52" t="s">
        <v>2010</v>
      </c>
      <c r="O253" s="69">
        <v>45700.0</v>
      </c>
      <c r="P253" s="52">
        <v>2.0251610011033E13</v>
      </c>
      <c r="Q253" s="52" t="s">
        <v>2098</v>
      </c>
      <c r="R253" s="69">
        <v>45700.0</v>
      </c>
      <c r="S253" s="52" t="s">
        <v>3443</v>
      </c>
      <c r="T253" s="52" t="s">
        <v>2013</v>
      </c>
      <c r="U253" s="52" t="s">
        <v>3444</v>
      </c>
      <c r="V253" s="52" t="s">
        <v>581</v>
      </c>
      <c r="W253" s="52" t="s">
        <v>1471</v>
      </c>
      <c r="X253" s="52" t="s">
        <v>1030</v>
      </c>
      <c r="Y253" s="52" t="s">
        <v>1070</v>
      </c>
      <c r="Z253" s="52" t="s">
        <v>2015</v>
      </c>
      <c r="AA253" s="52" t="s">
        <v>2054</v>
      </c>
      <c r="AB253" s="52" t="s">
        <v>2032</v>
      </c>
      <c r="AC253" s="52" t="s">
        <v>2082</v>
      </c>
      <c r="AD253" s="52" t="s">
        <v>587</v>
      </c>
      <c r="AE253" s="52" t="s">
        <v>2841</v>
      </c>
      <c r="AF253" s="69">
        <v>35477.0</v>
      </c>
      <c r="AG253" s="52">
        <v>28.0</v>
      </c>
      <c r="AH253" s="52" t="s">
        <v>1526</v>
      </c>
      <c r="AI253" s="52" t="s">
        <v>3445</v>
      </c>
      <c r="AJ253" s="52" t="s">
        <v>3446</v>
      </c>
      <c r="AK253" s="52" t="s">
        <v>2022</v>
      </c>
      <c r="AL253" s="52" t="s">
        <v>1862</v>
      </c>
      <c r="AM253" s="52" t="s">
        <v>587</v>
      </c>
      <c r="AN253" s="52" t="s">
        <v>1862</v>
      </c>
      <c r="AO253" s="52" t="s">
        <v>1483</v>
      </c>
      <c r="AP253" s="52">
        <v>24925.0</v>
      </c>
      <c r="AQ253" s="52">
        <v>24525.0</v>
      </c>
      <c r="AR253" s="52" t="s">
        <v>91</v>
      </c>
      <c r="AS253" s="69">
        <v>45702.0</v>
      </c>
      <c r="AT253" s="70">
        <v>46020.0</v>
      </c>
      <c r="AU253" s="69">
        <v>45702.0</v>
      </c>
      <c r="AV253" s="70">
        <v>46019.0</v>
      </c>
      <c r="AW253" s="52" t="s">
        <v>1483</v>
      </c>
      <c r="AX253" s="52" t="s">
        <v>587</v>
      </c>
      <c r="AY253" s="52">
        <v>317.0</v>
      </c>
      <c r="BA253" s="73" t="s">
        <v>3447</v>
      </c>
      <c r="BB253" s="69">
        <v>45702.0</v>
      </c>
      <c r="BC253" s="52" t="s">
        <v>289</v>
      </c>
      <c r="BD253" s="52">
        <v>5.2170568E7</v>
      </c>
      <c r="BE253" s="52" t="s">
        <v>2342</v>
      </c>
      <c r="BF253" s="52" t="s">
        <v>165</v>
      </c>
      <c r="BG253" s="52" t="s">
        <v>2041</v>
      </c>
      <c r="BH253" s="52" t="s">
        <v>1076</v>
      </c>
      <c r="BI253" s="52" t="s">
        <v>2805</v>
      </c>
    </row>
    <row r="254">
      <c r="A254" s="52">
        <v>222.0</v>
      </c>
      <c r="B254" s="52" t="s">
        <v>1073</v>
      </c>
      <c r="C254" s="52" t="s">
        <v>2005</v>
      </c>
      <c r="D254" s="52">
        <v>5.2958449E7</v>
      </c>
      <c r="E254" s="52" t="s">
        <v>1908</v>
      </c>
      <c r="F254" s="69">
        <v>45701.0</v>
      </c>
      <c r="G254" s="52" t="s">
        <v>1075</v>
      </c>
      <c r="H254" s="52" t="s">
        <v>2008</v>
      </c>
      <c r="I254" s="52" t="s">
        <v>2008</v>
      </c>
      <c r="J254" s="52" t="s">
        <v>1470</v>
      </c>
      <c r="K254" s="52" t="s">
        <v>2069</v>
      </c>
      <c r="L254" s="52" t="s">
        <v>2010</v>
      </c>
      <c r="N254" s="52" t="s">
        <v>2010</v>
      </c>
      <c r="O254" s="69">
        <v>45700.0</v>
      </c>
      <c r="P254" s="52">
        <v>2.0251610011063E13</v>
      </c>
      <c r="Q254" s="52" t="s">
        <v>2069</v>
      </c>
      <c r="R254" s="69">
        <v>45700.0</v>
      </c>
      <c r="S254" s="52" t="s">
        <v>3448</v>
      </c>
      <c r="T254" s="52" t="s">
        <v>2013</v>
      </c>
      <c r="U254" s="52" t="s">
        <v>3449</v>
      </c>
      <c r="V254" s="52" t="s">
        <v>581</v>
      </c>
      <c r="W254" s="52" t="s">
        <v>1471</v>
      </c>
      <c r="X254" s="52" t="s">
        <v>1030</v>
      </c>
      <c r="Y254" s="52" t="s">
        <v>1074</v>
      </c>
      <c r="Z254" s="52" t="s">
        <v>2015</v>
      </c>
      <c r="AA254" s="52" t="s">
        <v>2882</v>
      </c>
      <c r="AB254" s="52" t="s">
        <v>2228</v>
      </c>
      <c r="AC254" s="52" t="s">
        <v>2018</v>
      </c>
      <c r="AD254" s="52" t="s">
        <v>587</v>
      </c>
      <c r="AE254" s="52" t="s">
        <v>2019</v>
      </c>
      <c r="AF254" s="69">
        <v>30822.0</v>
      </c>
      <c r="AG254" s="52">
        <v>41.0</v>
      </c>
      <c r="AH254" s="52" t="s">
        <v>1757</v>
      </c>
      <c r="AI254" s="52" t="s">
        <v>3450</v>
      </c>
      <c r="AJ254" s="52" t="s">
        <v>3451</v>
      </c>
      <c r="AK254" s="52" t="s">
        <v>2022</v>
      </c>
      <c r="AL254" s="52" t="s">
        <v>1863</v>
      </c>
      <c r="AM254" s="52" t="s">
        <v>1754</v>
      </c>
      <c r="AN254" s="52" t="s">
        <v>1864</v>
      </c>
      <c r="AO254" s="52" t="s">
        <v>1483</v>
      </c>
      <c r="AP254" s="52">
        <v>24225.0</v>
      </c>
      <c r="AQ254" s="52">
        <v>24325.0</v>
      </c>
      <c r="AR254" s="52" t="s">
        <v>91</v>
      </c>
      <c r="AS254" s="69">
        <v>45702.0</v>
      </c>
      <c r="AT254" s="70">
        <v>46022.0</v>
      </c>
      <c r="AU254" s="69">
        <v>45702.0</v>
      </c>
      <c r="AV254" s="70">
        <v>46021.0</v>
      </c>
      <c r="AW254" s="52" t="s">
        <v>1483</v>
      </c>
      <c r="AX254" s="52" t="s">
        <v>587</v>
      </c>
      <c r="AY254" s="52">
        <v>319.0</v>
      </c>
      <c r="BA254" s="73" t="s">
        <v>3452</v>
      </c>
      <c r="BB254" s="69">
        <v>45702.0</v>
      </c>
      <c r="BC254" s="52" t="s">
        <v>170</v>
      </c>
      <c r="BD254" s="69">
        <v>1.3923899E7</v>
      </c>
      <c r="BE254" s="52" t="s">
        <v>2206</v>
      </c>
      <c r="BF254" s="52" t="s">
        <v>165</v>
      </c>
      <c r="BG254" s="52" t="s">
        <v>2041</v>
      </c>
      <c r="BH254" s="52" t="s">
        <v>1080</v>
      </c>
      <c r="BI254" s="52" t="s">
        <v>2805</v>
      </c>
    </row>
    <row r="255">
      <c r="A255" s="52">
        <v>223.0</v>
      </c>
      <c r="B255" s="52" t="s">
        <v>1077</v>
      </c>
      <c r="C255" s="52" t="s">
        <v>2005</v>
      </c>
      <c r="D255" s="52">
        <v>1.049646618E9</v>
      </c>
      <c r="E255" s="52" t="s">
        <v>1908</v>
      </c>
      <c r="F255" s="69">
        <v>45702.0</v>
      </c>
      <c r="G255" s="52" t="s">
        <v>1079</v>
      </c>
      <c r="H255" s="52" t="s">
        <v>2088</v>
      </c>
      <c r="I255" s="52" t="s">
        <v>2088</v>
      </c>
      <c r="J255" s="52" t="s">
        <v>1478</v>
      </c>
      <c r="K255" s="52" t="s">
        <v>2612</v>
      </c>
      <c r="L255" s="52" t="s">
        <v>2010</v>
      </c>
      <c r="N255" s="52" t="s">
        <v>2010</v>
      </c>
      <c r="O255" s="69">
        <v>45701.0</v>
      </c>
      <c r="P255" s="52">
        <v>2.0251000011083E13</v>
      </c>
      <c r="Q255" s="52" t="s">
        <v>2612</v>
      </c>
      <c r="R255" s="69">
        <v>45701.0</v>
      </c>
      <c r="S255" s="52" t="s">
        <v>3453</v>
      </c>
      <c r="T255" s="52" t="s">
        <v>2013</v>
      </c>
      <c r="U255" s="52" t="s">
        <v>3454</v>
      </c>
      <c r="V255" s="52" t="s">
        <v>581</v>
      </c>
      <c r="W255" s="52" t="s">
        <v>1471</v>
      </c>
      <c r="X255" s="52" t="s">
        <v>1030</v>
      </c>
      <c r="Y255" s="52" t="s">
        <v>1078</v>
      </c>
      <c r="Z255" s="52" t="s">
        <v>2015</v>
      </c>
      <c r="AA255" s="52" t="s">
        <v>2016</v>
      </c>
      <c r="AB255" s="52" t="s">
        <v>2062</v>
      </c>
      <c r="AC255" s="52" t="s">
        <v>2114</v>
      </c>
      <c r="AD255" s="52" t="s">
        <v>587</v>
      </c>
      <c r="AE255" s="52" t="s">
        <v>3455</v>
      </c>
      <c r="AF255" s="69">
        <v>35206.0</v>
      </c>
      <c r="AG255" s="52">
        <v>29.0</v>
      </c>
      <c r="AH255" s="52" t="s">
        <v>1521</v>
      </c>
      <c r="AI255" s="52" t="s">
        <v>3456</v>
      </c>
      <c r="AJ255" s="52" t="s">
        <v>3457</v>
      </c>
      <c r="AK255" s="52" t="s">
        <v>2022</v>
      </c>
      <c r="AL255" s="52" t="s">
        <v>1707</v>
      </c>
      <c r="AM255" s="52" t="s">
        <v>587</v>
      </c>
      <c r="AN255" s="52" t="s">
        <v>1707</v>
      </c>
      <c r="AO255" s="52" t="s">
        <v>1483</v>
      </c>
      <c r="AP255" s="52">
        <v>24425.0</v>
      </c>
      <c r="AQ255" s="52">
        <v>24825.0</v>
      </c>
      <c r="AR255" s="52" t="s">
        <v>77</v>
      </c>
      <c r="AS255" s="69">
        <v>45703.0</v>
      </c>
      <c r="AT255" s="70">
        <v>45945.0</v>
      </c>
      <c r="AU255" s="69">
        <v>45705.0</v>
      </c>
      <c r="AV255" s="70">
        <v>45946.0</v>
      </c>
      <c r="AW255" s="52" t="s">
        <v>1483</v>
      </c>
      <c r="AX255" s="52" t="s">
        <v>587</v>
      </c>
      <c r="AY255" s="52">
        <v>241.0</v>
      </c>
      <c r="BA255" s="73" t="s">
        <v>3458</v>
      </c>
      <c r="BB255" s="69">
        <v>45705.0</v>
      </c>
      <c r="BC255" s="52" t="s">
        <v>2663</v>
      </c>
      <c r="BD255" s="52">
        <v>1.019090785E9</v>
      </c>
      <c r="BE255" s="52" t="s">
        <v>2120</v>
      </c>
      <c r="BF255" s="52" t="s">
        <v>537</v>
      </c>
      <c r="BG255" s="52" t="s">
        <v>2041</v>
      </c>
      <c r="BH255" s="52" t="s">
        <v>1084</v>
      </c>
      <c r="BI255" s="52" t="s">
        <v>2805</v>
      </c>
    </row>
    <row r="256">
      <c r="A256" s="52">
        <v>224.0</v>
      </c>
      <c r="B256" s="52" t="s">
        <v>1081</v>
      </c>
      <c r="C256" s="52" t="s">
        <v>2005</v>
      </c>
      <c r="D256" s="52">
        <v>1.031141613E9</v>
      </c>
      <c r="E256" s="52" t="s">
        <v>1908</v>
      </c>
      <c r="F256" s="69">
        <v>45705.0</v>
      </c>
      <c r="G256" s="52" t="s">
        <v>1083</v>
      </c>
      <c r="H256" s="52" t="s">
        <v>2088</v>
      </c>
      <c r="I256" s="52" t="s">
        <v>2088</v>
      </c>
      <c r="J256" s="52" t="s">
        <v>1478</v>
      </c>
      <c r="K256" s="52" t="s">
        <v>2213</v>
      </c>
      <c r="L256" s="52" t="s">
        <v>2010</v>
      </c>
      <c r="N256" s="52" t="s">
        <v>2010</v>
      </c>
      <c r="O256" s="69">
        <v>45701.0</v>
      </c>
      <c r="P256" s="52" t="s">
        <v>3459</v>
      </c>
      <c r="Q256" s="52" t="s">
        <v>2213</v>
      </c>
      <c r="R256" s="69">
        <v>45701.0</v>
      </c>
      <c r="S256" s="52" t="s">
        <v>3460</v>
      </c>
      <c r="T256" s="52" t="s">
        <v>2013</v>
      </c>
      <c r="U256" s="52" t="s">
        <v>3461</v>
      </c>
      <c r="V256" s="52" t="s">
        <v>581</v>
      </c>
      <c r="W256" s="52" t="s">
        <v>1471</v>
      </c>
      <c r="X256" s="52" t="s">
        <v>1030</v>
      </c>
      <c r="Y256" s="52" t="s">
        <v>1082</v>
      </c>
      <c r="Z256" s="52" t="s">
        <v>2081</v>
      </c>
      <c r="AA256" s="52" t="s">
        <v>2016</v>
      </c>
      <c r="AB256" s="52" t="s">
        <v>2032</v>
      </c>
      <c r="AC256" s="52" t="s">
        <v>2018</v>
      </c>
      <c r="AD256" s="52" t="s">
        <v>587</v>
      </c>
      <c r="AE256" s="52" t="s">
        <v>2019</v>
      </c>
      <c r="AF256" s="70">
        <v>33886.0</v>
      </c>
      <c r="AG256" s="52">
        <v>33.0</v>
      </c>
      <c r="AH256" s="52" t="s">
        <v>1865</v>
      </c>
      <c r="AI256" s="52" t="s">
        <v>3462</v>
      </c>
      <c r="AJ256" s="52" t="s">
        <v>3463</v>
      </c>
      <c r="AK256" s="52" t="s">
        <v>2022</v>
      </c>
      <c r="AL256" s="52" t="s">
        <v>1866</v>
      </c>
      <c r="AM256" s="52" t="s">
        <v>587</v>
      </c>
      <c r="AN256" s="52" t="s">
        <v>1866</v>
      </c>
      <c r="AO256" s="52" t="s">
        <v>1483</v>
      </c>
      <c r="AP256" s="52">
        <v>24525.0</v>
      </c>
      <c r="AQ256" s="52">
        <v>25225.0</v>
      </c>
      <c r="AR256" s="52" t="s">
        <v>77</v>
      </c>
      <c r="AS256" s="69">
        <v>45706.0</v>
      </c>
      <c r="AT256" s="70">
        <v>45948.0</v>
      </c>
      <c r="AU256" s="69">
        <v>45706.0</v>
      </c>
      <c r="AV256" s="70">
        <v>45947.0</v>
      </c>
      <c r="AW256" s="52" t="s">
        <v>1483</v>
      </c>
      <c r="AX256" s="52" t="s">
        <v>587</v>
      </c>
      <c r="AY256" s="52">
        <v>241.0</v>
      </c>
      <c r="BA256" s="73" t="s">
        <v>3464</v>
      </c>
      <c r="BB256" s="69">
        <v>45705.0</v>
      </c>
      <c r="BC256" s="52" t="s">
        <v>2663</v>
      </c>
      <c r="BD256" s="52">
        <v>1.019090785E9</v>
      </c>
      <c r="BE256" s="52" t="s">
        <v>2120</v>
      </c>
      <c r="BF256" s="52" t="s">
        <v>537</v>
      </c>
      <c r="BG256" s="52" t="s">
        <v>2041</v>
      </c>
      <c r="BH256" s="52" t="s">
        <v>3465</v>
      </c>
      <c r="BI256" s="52" t="s">
        <v>2805</v>
      </c>
    </row>
    <row r="257">
      <c r="A257" s="52">
        <v>225.0</v>
      </c>
      <c r="B257" s="52" t="s">
        <v>1085</v>
      </c>
      <c r="C257" s="52" t="s">
        <v>2005</v>
      </c>
      <c r="D257" s="52">
        <v>1.01850558E9</v>
      </c>
      <c r="E257" s="52" t="s">
        <v>1908</v>
      </c>
      <c r="F257" s="69">
        <v>45701.0</v>
      </c>
      <c r="G257" s="52" t="s">
        <v>1867</v>
      </c>
      <c r="H257" s="52" t="s">
        <v>2008</v>
      </c>
      <c r="I257" s="52" t="s">
        <v>2008</v>
      </c>
      <c r="J257" s="52" t="s">
        <v>1470</v>
      </c>
      <c r="K257" s="52" t="s">
        <v>2098</v>
      </c>
      <c r="L257" s="52" t="s">
        <v>2010</v>
      </c>
      <c r="N257" s="52" t="s">
        <v>2010</v>
      </c>
      <c r="O257" s="69">
        <v>45701.0</v>
      </c>
      <c r="P257" s="52">
        <v>2.0251610011113E13</v>
      </c>
      <c r="Q257" s="52" t="s">
        <v>2098</v>
      </c>
      <c r="R257" s="69">
        <v>45701.0</v>
      </c>
      <c r="S257" s="52" t="s">
        <v>3466</v>
      </c>
      <c r="T257" s="52" t="s">
        <v>2013</v>
      </c>
      <c r="U257" s="52" t="s">
        <v>3467</v>
      </c>
      <c r="V257" s="52" t="s">
        <v>581</v>
      </c>
      <c r="W257" s="52" t="s">
        <v>1471</v>
      </c>
      <c r="X257" s="52" t="s">
        <v>1030</v>
      </c>
      <c r="Y257" s="52" t="s">
        <v>1086</v>
      </c>
      <c r="Z257" s="52" t="s">
        <v>2015</v>
      </c>
      <c r="AA257" s="52" t="s">
        <v>2882</v>
      </c>
      <c r="AB257" s="52" t="s">
        <v>2032</v>
      </c>
      <c r="AC257" s="52" t="s">
        <v>2018</v>
      </c>
      <c r="AD257" s="52" t="s">
        <v>587</v>
      </c>
      <c r="AE257" s="52" t="s">
        <v>2019</v>
      </c>
      <c r="AF257" s="69">
        <v>36025.0</v>
      </c>
      <c r="AG257" s="52">
        <v>27.0</v>
      </c>
      <c r="AH257" s="52" t="s">
        <v>1744</v>
      </c>
      <c r="AI257" s="52" t="s">
        <v>3468</v>
      </c>
      <c r="AJ257" s="52" t="s">
        <v>3469</v>
      </c>
      <c r="AK257" s="52" t="s">
        <v>2022</v>
      </c>
      <c r="AL257" s="52" t="s">
        <v>1868</v>
      </c>
      <c r="AM257" s="52" t="s">
        <v>587</v>
      </c>
      <c r="AN257" s="52" t="s">
        <v>1868</v>
      </c>
      <c r="AO257" s="52" t="s">
        <v>1483</v>
      </c>
      <c r="AP257" s="52">
        <v>26025.0</v>
      </c>
      <c r="AQ257" s="52">
        <v>24625.0</v>
      </c>
      <c r="AR257" s="52" t="s">
        <v>91</v>
      </c>
      <c r="AS257" s="69">
        <v>45702.0</v>
      </c>
      <c r="AT257" s="70">
        <v>46022.0</v>
      </c>
      <c r="AU257" s="69">
        <v>45702.0</v>
      </c>
      <c r="AV257" s="70">
        <v>46021.0</v>
      </c>
      <c r="AW257" s="52" t="s">
        <v>1483</v>
      </c>
      <c r="AX257" s="52" t="s">
        <v>587</v>
      </c>
      <c r="AY257" s="52">
        <v>319.0</v>
      </c>
      <c r="BA257" s="73" t="s">
        <v>3470</v>
      </c>
      <c r="BB257" s="69">
        <v>45702.0</v>
      </c>
      <c r="BC257" s="52" t="s">
        <v>217</v>
      </c>
      <c r="BD257" s="52">
        <v>7.1338113E7</v>
      </c>
      <c r="BE257" s="52" t="s">
        <v>2248</v>
      </c>
      <c r="BF257" s="52" t="s">
        <v>165</v>
      </c>
      <c r="BG257" s="52" t="s">
        <v>2041</v>
      </c>
      <c r="BH257" s="52" t="s">
        <v>1088</v>
      </c>
      <c r="BI257" s="52" t="s">
        <v>2805</v>
      </c>
    </row>
    <row r="258">
      <c r="A258" s="52">
        <v>226.0</v>
      </c>
      <c r="B258" s="52" t="s">
        <v>3471</v>
      </c>
      <c r="E258" s="52" t="s">
        <v>1908</v>
      </c>
      <c r="F258" s="52" t="s">
        <v>1908</v>
      </c>
      <c r="G258" s="52" t="s">
        <v>3472</v>
      </c>
      <c r="H258" s="52" t="s">
        <v>2068</v>
      </c>
      <c r="I258" s="52" t="s">
        <v>2068</v>
      </c>
      <c r="J258" s="52" t="s">
        <v>1478</v>
      </c>
      <c r="K258" s="52" t="s">
        <v>2059</v>
      </c>
      <c r="L258" s="52" t="s">
        <v>2010</v>
      </c>
      <c r="N258" s="52" t="s">
        <v>2010</v>
      </c>
      <c r="O258" s="69">
        <v>45701.0</v>
      </c>
      <c r="P258" s="52">
        <v>2.0251900011243E13</v>
      </c>
      <c r="Q258" s="52" t="s">
        <v>2059</v>
      </c>
      <c r="R258" s="69">
        <v>45701.0</v>
      </c>
      <c r="S258" s="52" t="s">
        <v>3473</v>
      </c>
      <c r="T258" s="52" t="s">
        <v>3170</v>
      </c>
      <c r="U258" s="52" t="s">
        <v>3474</v>
      </c>
      <c r="AD258" s="52" t="s">
        <v>587</v>
      </c>
      <c r="AG258" s="52">
        <v>126.0</v>
      </c>
      <c r="BH258" s="52" t="s">
        <v>1092</v>
      </c>
      <c r="BI258" s="52" t="s">
        <v>3475</v>
      </c>
    </row>
    <row r="259">
      <c r="A259" s="52">
        <v>227.0</v>
      </c>
      <c r="B259" s="52" t="s">
        <v>1089</v>
      </c>
      <c r="C259" s="52" t="s">
        <v>2005</v>
      </c>
      <c r="D259" s="52">
        <v>5.3176483E7</v>
      </c>
      <c r="E259" s="52" t="s">
        <v>1908</v>
      </c>
      <c r="F259" s="69">
        <v>45707.0</v>
      </c>
      <c r="G259" s="52" t="s">
        <v>1091</v>
      </c>
      <c r="H259" s="52" t="s">
        <v>2088</v>
      </c>
      <c r="I259" s="52" t="s">
        <v>2088</v>
      </c>
      <c r="J259" s="52" t="s">
        <v>1478</v>
      </c>
      <c r="K259" s="52" t="s">
        <v>2213</v>
      </c>
      <c r="L259" s="52" t="s">
        <v>2010</v>
      </c>
      <c r="N259" s="52" t="s">
        <v>2010</v>
      </c>
      <c r="O259" s="69">
        <v>45702.0</v>
      </c>
      <c r="P259" s="52" t="s">
        <v>3476</v>
      </c>
      <c r="Q259" s="52" t="s">
        <v>2213</v>
      </c>
      <c r="R259" s="52" t="s">
        <v>3477</v>
      </c>
      <c r="S259" s="52" t="s">
        <v>3478</v>
      </c>
      <c r="T259" s="52" t="s">
        <v>2013</v>
      </c>
      <c r="U259" s="52" t="s">
        <v>3479</v>
      </c>
      <c r="V259" s="52" t="s">
        <v>581</v>
      </c>
      <c r="W259" s="52" t="s">
        <v>1471</v>
      </c>
      <c r="X259" s="52" t="s">
        <v>1030</v>
      </c>
      <c r="Y259" s="52" t="s">
        <v>1090</v>
      </c>
      <c r="Z259" s="52" t="s">
        <v>2015</v>
      </c>
      <c r="AA259" s="52" t="s">
        <v>2882</v>
      </c>
      <c r="AB259" s="52" t="s">
        <v>2062</v>
      </c>
      <c r="AC259" s="52" t="s">
        <v>2018</v>
      </c>
      <c r="AD259" s="52" t="s">
        <v>587</v>
      </c>
      <c r="AE259" s="52" t="s">
        <v>2019</v>
      </c>
      <c r="AF259" s="69">
        <v>31078.0</v>
      </c>
      <c r="AG259" s="52">
        <v>40.0</v>
      </c>
      <c r="AH259" s="52" t="s">
        <v>1869</v>
      </c>
      <c r="AI259" s="52" t="s">
        <v>3480</v>
      </c>
      <c r="AJ259" s="52" t="s">
        <v>3481</v>
      </c>
      <c r="AK259" s="52" t="s">
        <v>2022</v>
      </c>
      <c r="AL259" s="52" t="s">
        <v>1807</v>
      </c>
      <c r="AM259" s="52" t="s">
        <v>587</v>
      </c>
      <c r="AN259" s="52" t="s">
        <v>1807</v>
      </c>
      <c r="AO259" s="52" t="s">
        <v>1483</v>
      </c>
      <c r="AP259" s="52">
        <v>24825.0</v>
      </c>
      <c r="AQ259" s="52">
        <v>26525.0</v>
      </c>
      <c r="AR259" s="52" t="s">
        <v>77</v>
      </c>
      <c r="AS259" s="69">
        <v>45709.0</v>
      </c>
      <c r="AT259" s="70">
        <v>45951.0</v>
      </c>
      <c r="AU259" s="69">
        <v>45709.0</v>
      </c>
      <c r="AV259" s="70">
        <v>45950.0</v>
      </c>
      <c r="AW259" s="52" t="s">
        <v>1483</v>
      </c>
      <c r="AX259" s="52" t="s">
        <v>587</v>
      </c>
      <c r="AY259" s="52">
        <v>241.0</v>
      </c>
      <c r="BA259" s="73" t="s">
        <v>3482</v>
      </c>
      <c r="BB259" s="69">
        <v>45709.0</v>
      </c>
      <c r="BC259" s="52" t="s">
        <v>2663</v>
      </c>
      <c r="BD259" s="52">
        <v>1.019090785E9</v>
      </c>
      <c r="BE259" s="52" t="s">
        <v>2120</v>
      </c>
      <c r="BF259" s="52" t="s">
        <v>537</v>
      </c>
      <c r="BG259" s="52" t="s">
        <v>2041</v>
      </c>
      <c r="BH259" s="52" t="s">
        <v>1096</v>
      </c>
      <c r="BI259" s="52" t="s">
        <v>2805</v>
      </c>
    </row>
    <row r="260">
      <c r="A260" s="52">
        <v>228.0</v>
      </c>
      <c r="B260" s="52" t="s">
        <v>1093</v>
      </c>
      <c r="C260" s="52" t="s">
        <v>2005</v>
      </c>
      <c r="D260" s="52">
        <v>2.5221017E7</v>
      </c>
      <c r="E260" s="52" t="s">
        <v>1908</v>
      </c>
      <c r="F260" s="69">
        <v>45712.0</v>
      </c>
      <c r="G260" s="52" t="s">
        <v>1095</v>
      </c>
      <c r="H260" s="52" t="s">
        <v>2088</v>
      </c>
      <c r="I260" s="52" t="s">
        <v>2088</v>
      </c>
      <c r="J260" s="52" t="s">
        <v>1478</v>
      </c>
      <c r="K260" s="52" t="s">
        <v>2069</v>
      </c>
      <c r="L260" s="52" t="s">
        <v>2010</v>
      </c>
      <c r="N260" s="52" t="s">
        <v>2010</v>
      </c>
      <c r="O260" s="52" t="s">
        <v>3483</v>
      </c>
      <c r="P260" s="52" t="s">
        <v>3484</v>
      </c>
      <c r="Q260" s="52" t="s">
        <v>2069</v>
      </c>
      <c r="R260" s="52" t="s">
        <v>3483</v>
      </c>
      <c r="S260" s="52" t="s">
        <v>3485</v>
      </c>
      <c r="T260" s="52" t="s">
        <v>2013</v>
      </c>
      <c r="U260" s="52" t="s">
        <v>3486</v>
      </c>
      <c r="V260" s="52" t="s">
        <v>581</v>
      </c>
      <c r="W260" s="52" t="s">
        <v>1471</v>
      </c>
      <c r="X260" s="52" t="s">
        <v>1030</v>
      </c>
      <c r="Y260" s="52" t="s">
        <v>1094</v>
      </c>
      <c r="Z260" s="52" t="s">
        <v>2015</v>
      </c>
      <c r="AA260" s="52" t="s">
        <v>2882</v>
      </c>
      <c r="AB260" s="52" t="s">
        <v>2062</v>
      </c>
      <c r="AC260" s="52" t="s">
        <v>2018</v>
      </c>
      <c r="AD260" s="52" t="s">
        <v>587</v>
      </c>
      <c r="AE260" s="52" t="s">
        <v>3487</v>
      </c>
      <c r="AF260" s="69">
        <v>26726.0</v>
      </c>
      <c r="AG260" s="52">
        <v>52.0</v>
      </c>
      <c r="AH260" s="52" t="s">
        <v>1507</v>
      </c>
      <c r="AI260" s="52" t="s">
        <v>3488</v>
      </c>
      <c r="AJ260" s="52" t="s">
        <v>3489</v>
      </c>
      <c r="AK260" s="52" t="s">
        <v>2022</v>
      </c>
      <c r="AL260" s="52" t="s">
        <v>1870</v>
      </c>
      <c r="AM260" s="52" t="s">
        <v>1871</v>
      </c>
      <c r="AN260" s="52" t="s">
        <v>1872</v>
      </c>
      <c r="AO260" s="52" t="s">
        <v>1483</v>
      </c>
      <c r="AP260" s="52">
        <v>24725.0</v>
      </c>
      <c r="AQ260" s="52">
        <v>27025.0</v>
      </c>
      <c r="AR260" s="52" t="s">
        <v>77</v>
      </c>
      <c r="AS260" s="69">
        <v>45713.0</v>
      </c>
      <c r="AT260" s="70">
        <v>46022.0</v>
      </c>
      <c r="AU260" s="69">
        <v>45713.0</v>
      </c>
      <c r="AV260" s="70">
        <v>46022.0</v>
      </c>
      <c r="AW260" s="52" t="s">
        <v>1483</v>
      </c>
      <c r="AX260" s="52" t="s">
        <v>587</v>
      </c>
      <c r="AY260" s="52">
        <v>309.0</v>
      </c>
      <c r="BA260" s="73" t="s">
        <v>3490</v>
      </c>
      <c r="BB260" s="69">
        <v>45713.0</v>
      </c>
      <c r="BC260" s="52" t="s">
        <v>2663</v>
      </c>
      <c r="BD260" s="52">
        <v>1.019090785E9</v>
      </c>
      <c r="BE260" s="52" t="s">
        <v>2120</v>
      </c>
      <c r="BF260" s="52" t="s">
        <v>537</v>
      </c>
      <c r="BG260" s="52" t="s">
        <v>2041</v>
      </c>
      <c r="BH260" s="52" t="s">
        <v>1100</v>
      </c>
      <c r="BI260" s="52" t="s">
        <v>2805</v>
      </c>
    </row>
    <row r="261">
      <c r="A261" s="52">
        <v>229.0</v>
      </c>
      <c r="B261" s="52" t="s">
        <v>1097</v>
      </c>
      <c r="C261" s="52" t="s">
        <v>2005</v>
      </c>
      <c r="D261" s="52">
        <v>8.706746E7</v>
      </c>
      <c r="E261" s="52" t="s">
        <v>1908</v>
      </c>
      <c r="F261" s="69">
        <v>45709.0</v>
      </c>
      <c r="G261" s="52" t="s">
        <v>1099</v>
      </c>
      <c r="H261" s="52" t="s">
        <v>2088</v>
      </c>
      <c r="I261" s="52" t="s">
        <v>2088</v>
      </c>
      <c r="J261" s="52" t="s">
        <v>1478</v>
      </c>
      <c r="K261" s="52" t="s">
        <v>2612</v>
      </c>
      <c r="L261" s="52" t="s">
        <v>2010</v>
      </c>
      <c r="N261" s="52" t="s">
        <v>2010</v>
      </c>
      <c r="O261" s="52" t="s">
        <v>3483</v>
      </c>
      <c r="P261" s="52" t="s">
        <v>3491</v>
      </c>
      <c r="Q261" s="52" t="s">
        <v>2612</v>
      </c>
      <c r="R261" s="52" t="s">
        <v>3492</v>
      </c>
      <c r="S261" s="52" t="s">
        <v>3493</v>
      </c>
      <c r="T261" s="52" t="s">
        <v>2013</v>
      </c>
      <c r="U261" s="52" t="s">
        <v>3494</v>
      </c>
      <c r="V261" s="52" t="s">
        <v>581</v>
      </c>
      <c r="W261" s="52" t="s">
        <v>1471</v>
      </c>
      <c r="X261" s="52" t="s">
        <v>1030</v>
      </c>
      <c r="Y261" s="52" t="s">
        <v>1098</v>
      </c>
      <c r="Z261" s="52" t="s">
        <v>2081</v>
      </c>
      <c r="AA261" s="52" t="s">
        <v>2882</v>
      </c>
      <c r="AB261" s="52" t="s">
        <v>2032</v>
      </c>
      <c r="AC261" s="52" t="s">
        <v>2033</v>
      </c>
      <c r="AD261" s="52" t="s">
        <v>587</v>
      </c>
      <c r="AE261" s="52" t="s">
        <v>3495</v>
      </c>
      <c r="AF261" s="69">
        <v>31055.0</v>
      </c>
      <c r="AG261" s="52">
        <v>40.0</v>
      </c>
      <c r="AH261" s="52" t="s">
        <v>1600</v>
      </c>
      <c r="AI261" s="52" t="s">
        <v>3496</v>
      </c>
      <c r="AJ261" s="52" t="s">
        <v>3497</v>
      </c>
      <c r="AK261" s="52" t="s">
        <v>2022</v>
      </c>
      <c r="AL261" s="52" t="s">
        <v>1585</v>
      </c>
      <c r="AM261" s="52" t="s">
        <v>1524</v>
      </c>
      <c r="AN261" s="52" t="s">
        <v>1779</v>
      </c>
      <c r="AO261" s="52" t="s">
        <v>1483</v>
      </c>
      <c r="AP261" s="52">
        <v>24625.0</v>
      </c>
      <c r="AQ261" s="52">
        <v>26925.0</v>
      </c>
      <c r="AR261" s="52" t="s">
        <v>77</v>
      </c>
      <c r="AS261" s="69">
        <v>45710.0</v>
      </c>
      <c r="AT261" s="70">
        <v>45983.0</v>
      </c>
      <c r="AU261" s="69">
        <v>45710.0</v>
      </c>
      <c r="AV261" s="70">
        <v>45985.0</v>
      </c>
      <c r="AW261" s="52" t="s">
        <v>1483</v>
      </c>
      <c r="AX261" s="52" t="s">
        <v>587</v>
      </c>
      <c r="AY261" s="52">
        <v>275.0</v>
      </c>
      <c r="BA261" s="73" t="s">
        <v>3498</v>
      </c>
      <c r="BB261" s="69">
        <v>45710.0</v>
      </c>
      <c r="BC261" s="52" t="s">
        <v>2663</v>
      </c>
      <c r="BD261" s="52">
        <v>1.019090785E9</v>
      </c>
      <c r="BE261" s="52" t="s">
        <v>2120</v>
      </c>
      <c r="BF261" s="52" t="s">
        <v>537</v>
      </c>
      <c r="BG261" s="52" t="s">
        <v>2041</v>
      </c>
      <c r="BH261" s="52" t="s">
        <v>1104</v>
      </c>
      <c r="BI261" s="52" t="s">
        <v>2805</v>
      </c>
    </row>
    <row r="262">
      <c r="A262" s="52">
        <v>230.0</v>
      </c>
      <c r="B262" s="52" t="s">
        <v>1101</v>
      </c>
      <c r="C262" s="52" t="s">
        <v>2005</v>
      </c>
      <c r="D262" s="52">
        <v>5.3009738E7</v>
      </c>
      <c r="E262" s="52" t="s">
        <v>1908</v>
      </c>
      <c r="F262" s="69">
        <v>45707.0</v>
      </c>
      <c r="G262" s="52" t="s">
        <v>1103</v>
      </c>
      <c r="H262" s="52" t="s">
        <v>2028</v>
      </c>
      <c r="I262" s="52" t="s">
        <v>2028</v>
      </c>
      <c r="J262" s="52" t="s">
        <v>1478</v>
      </c>
      <c r="K262" s="52" t="s">
        <v>2029</v>
      </c>
      <c r="L262" s="52" t="s">
        <v>2010</v>
      </c>
      <c r="N262" s="52" t="s">
        <v>2010</v>
      </c>
      <c r="O262" s="69">
        <v>45702.0</v>
      </c>
      <c r="P262" s="52">
        <v>2.0251130011583E13</v>
      </c>
      <c r="Q262" s="52" t="s">
        <v>2029</v>
      </c>
      <c r="R262" s="69">
        <v>45705.0</v>
      </c>
      <c r="S262" s="52" t="s">
        <v>3499</v>
      </c>
      <c r="T262" s="52" t="s">
        <v>2013</v>
      </c>
      <c r="V262" s="52" t="s">
        <v>581</v>
      </c>
      <c r="W262" s="52" t="s">
        <v>1471</v>
      </c>
      <c r="X262" s="52" t="s">
        <v>1030</v>
      </c>
      <c r="Y262" s="52" t="s">
        <v>1102</v>
      </c>
      <c r="Z262" s="52" t="s">
        <v>2015</v>
      </c>
      <c r="AA262" s="52" t="s">
        <v>2882</v>
      </c>
      <c r="AB262" s="52" t="s">
        <v>2017</v>
      </c>
      <c r="AC262" s="52" t="s">
        <v>2054</v>
      </c>
      <c r="AD262" s="52" t="s">
        <v>587</v>
      </c>
      <c r="AE262" s="52" t="s">
        <v>2884</v>
      </c>
      <c r="AF262" s="69">
        <v>30690.0</v>
      </c>
      <c r="AG262" s="52">
        <v>41.0</v>
      </c>
      <c r="AH262" s="52" t="s">
        <v>1701</v>
      </c>
      <c r="AI262" s="52" t="s">
        <v>3500</v>
      </c>
      <c r="AJ262" s="52" t="s">
        <v>3501</v>
      </c>
      <c r="AK262" s="52" t="s">
        <v>2022</v>
      </c>
      <c r="AL262" s="52" t="s">
        <v>3502</v>
      </c>
      <c r="AM262" s="52" t="s">
        <v>587</v>
      </c>
      <c r="AN262" s="52" t="s">
        <v>3502</v>
      </c>
      <c r="AO262" s="52" t="s">
        <v>1483</v>
      </c>
      <c r="AP262" s="52">
        <v>22325.0</v>
      </c>
      <c r="AQ262" s="52">
        <v>26425.0</v>
      </c>
      <c r="AR262" s="52" t="s">
        <v>917</v>
      </c>
      <c r="AS262" s="69">
        <v>45709.0</v>
      </c>
      <c r="AT262" s="69">
        <v>45798.0</v>
      </c>
      <c r="AU262" s="69">
        <v>45709.0</v>
      </c>
      <c r="AV262" s="69">
        <v>45797.0</v>
      </c>
      <c r="AW262" s="52" t="s">
        <v>1483</v>
      </c>
      <c r="AX262" s="52" t="s">
        <v>587</v>
      </c>
      <c r="AY262" s="52">
        <v>88.0</v>
      </c>
      <c r="BA262" s="73" t="s">
        <v>3503</v>
      </c>
      <c r="BB262" s="69">
        <v>45709.0</v>
      </c>
      <c r="BC262" s="52" t="s">
        <v>274</v>
      </c>
      <c r="BD262" s="52">
        <v>5.2328908E7</v>
      </c>
      <c r="BE262" s="52" t="s">
        <v>2321</v>
      </c>
      <c r="BF262" s="52" t="s">
        <v>1168</v>
      </c>
      <c r="BG262" s="52" t="s">
        <v>2041</v>
      </c>
      <c r="BH262" s="52" t="s">
        <v>1109</v>
      </c>
      <c r="BI262" s="52" t="s">
        <v>2805</v>
      </c>
    </row>
    <row r="263">
      <c r="A263" s="52">
        <v>231.0</v>
      </c>
      <c r="B263" s="52" t="s">
        <v>1105</v>
      </c>
      <c r="C263" s="52" t="s">
        <v>2005</v>
      </c>
      <c r="D263" s="52">
        <v>8.0012143E7</v>
      </c>
      <c r="E263" s="52" t="s">
        <v>1908</v>
      </c>
      <c r="F263" s="69">
        <v>45709.0</v>
      </c>
      <c r="G263" s="52" t="s">
        <v>1107</v>
      </c>
      <c r="H263" s="52" t="s">
        <v>2121</v>
      </c>
      <c r="I263" s="52" t="s">
        <v>2121</v>
      </c>
      <c r="J263" s="52" t="s">
        <v>1478</v>
      </c>
      <c r="K263" s="52" t="s">
        <v>2515</v>
      </c>
      <c r="L263" s="52" t="s">
        <v>2010</v>
      </c>
      <c r="N263" s="52" t="s">
        <v>2010</v>
      </c>
      <c r="O263" s="69">
        <v>45705.0</v>
      </c>
      <c r="P263" s="52">
        <v>2.0251400011853E13</v>
      </c>
      <c r="Q263" s="52" t="s">
        <v>2515</v>
      </c>
      <c r="R263" s="69">
        <v>45707.0</v>
      </c>
      <c r="S263" s="52" t="s">
        <v>3504</v>
      </c>
      <c r="T263" s="52" t="s">
        <v>2013</v>
      </c>
      <c r="U263" s="52" t="s">
        <v>3505</v>
      </c>
      <c r="V263" s="52" t="s">
        <v>581</v>
      </c>
      <c r="W263" s="52" t="s">
        <v>1471</v>
      </c>
      <c r="X263" s="52" t="s">
        <v>1030</v>
      </c>
      <c r="Y263" s="52" t="s">
        <v>1106</v>
      </c>
      <c r="Z263" s="52" t="s">
        <v>2081</v>
      </c>
      <c r="AA263" s="52" t="s">
        <v>2882</v>
      </c>
      <c r="AB263" s="52" t="s">
        <v>2032</v>
      </c>
      <c r="AC263" s="52" t="s">
        <v>2033</v>
      </c>
      <c r="AD263" s="52" t="s">
        <v>587</v>
      </c>
      <c r="AE263" s="52" t="s">
        <v>2019</v>
      </c>
      <c r="AF263" s="69">
        <v>29395.0</v>
      </c>
      <c r="AG263" s="52">
        <v>45.0</v>
      </c>
      <c r="AH263" s="52" t="s">
        <v>1873</v>
      </c>
      <c r="AI263" s="52" t="s">
        <v>3506</v>
      </c>
      <c r="AJ263" s="52" t="s">
        <v>3507</v>
      </c>
      <c r="AK263" s="52" t="s">
        <v>2022</v>
      </c>
      <c r="AL263" s="52" t="s">
        <v>1874</v>
      </c>
      <c r="AM263" s="52" t="s">
        <v>587</v>
      </c>
      <c r="AN263" s="52" t="s">
        <v>1874</v>
      </c>
      <c r="AO263" s="52" t="s">
        <v>1483</v>
      </c>
      <c r="AP263" s="52">
        <v>25425.0</v>
      </c>
      <c r="AQ263" s="52">
        <v>26825.0</v>
      </c>
      <c r="AR263" s="52" t="s">
        <v>1108</v>
      </c>
      <c r="AS263" s="69">
        <v>45710.0</v>
      </c>
      <c r="AT263" s="70">
        <v>46013.0</v>
      </c>
      <c r="AU263" s="69">
        <v>45712.0</v>
      </c>
      <c r="AV263" s="70">
        <v>46014.0</v>
      </c>
      <c r="AW263" s="52" t="s">
        <v>1483</v>
      </c>
      <c r="AX263" s="52" t="s">
        <v>587</v>
      </c>
      <c r="AY263" s="52">
        <v>302.0</v>
      </c>
      <c r="BA263" s="73" t="s">
        <v>3508</v>
      </c>
      <c r="BB263" s="69">
        <v>45712.0</v>
      </c>
      <c r="BC263" s="52" t="s">
        <v>666</v>
      </c>
      <c r="BD263" s="52">
        <v>4.0045111E7</v>
      </c>
      <c r="BE263" s="52" t="s">
        <v>2853</v>
      </c>
      <c r="BF263" s="52" t="s">
        <v>667</v>
      </c>
      <c r="BG263" s="52" t="s">
        <v>2041</v>
      </c>
      <c r="BH263" s="52" t="s">
        <v>1114</v>
      </c>
      <c r="BI263" s="52" t="s">
        <v>2805</v>
      </c>
    </row>
    <row r="264">
      <c r="A264" s="52">
        <v>232.0</v>
      </c>
      <c r="B264" s="52" t="s">
        <v>1110</v>
      </c>
      <c r="C264" s="52" t="s">
        <v>2005</v>
      </c>
      <c r="D264" s="52">
        <v>1.073519307E9</v>
      </c>
      <c r="E264" s="52" t="s">
        <v>1908</v>
      </c>
      <c r="F264" s="69">
        <v>45715.0</v>
      </c>
      <c r="G264" s="52" t="s">
        <v>1112</v>
      </c>
      <c r="H264" s="52" t="s">
        <v>2121</v>
      </c>
      <c r="I264" s="52" t="s">
        <v>2121</v>
      </c>
      <c r="J264" s="52" t="s">
        <v>1478</v>
      </c>
      <c r="K264" s="52" t="s">
        <v>2515</v>
      </c>
      <c r="L264" s="52" t="s">
        <v>2010</v>
      </c>
      <c r="N264" s="52" t="s">
        <v>2010</v>
      </c>
      <c r="O264" s="69">
        <v>45707.0</v>
      </c>
      <c r="P264" s="52">
        <v>2.0251400012053E13</v>
      </c>
      <c r="Q264" s="52" t="s">
        <v>2515</v>
      </c>
      <c r="R264" s="69">
        <v>45707.0</v>
      </c>
      <c r="S264" s="52" t="s">
        <v>3509</v>
      </c>
      <c r="T264" s="52" t="s">
        <v>2013</v>
      </c>
      <c r="U264" s="52" t="s">
        <v>3510</v>
      </c>
      <c r="V264" s="52" t="s">
        <v>581</v>
      </c>
      <c r="W264" s="52" t="s">
        <v>1471</v>
      </c>
      <c r="X264" s="52" t="s">
        <v>1030</v>
      </c>
      <c r="Y264" s="52" t="s">
        <v>1111</v>
      </c>
      <c r="Z264" s="52" t="s">
        <v>2081</v>
      </c>
      <c r="AA264" s="52" t="s">
        <v>2016</v>
      </c>
      <c r="AB264" s="52" t="s">
        <v>2062</v>
      </c>
      <c r="AC264" s="52" t="s">
        <v>2114</v>
      </c>
      <c r="AD264" s="52" t="s">
        <v>587</v>
      </c>
      <c r="AE264" s="52" t="s">
        <v>2260</v>
      </c>
      <c r="AF264" s="69">
        <v>35205.0</v>
      </c>
      <c r="AG264" s="52">
        <v>29.0</v>
      </c>
      <c r="AH264" s="52" t="s">
        <v>1493</v>
      </c>
      <c r="AI264" s="52" t="s">
        <v>3511</v>
      </c>
      <c r="AJ264" s="52" t="s">
        <v>3512</v>
      </c>
      <c r="AK264" s="52" t="s">
        <v>2022</v>
      </c>
      <c r="AL264" s="52" t="s">
        <v>3513</v>
      </c>
      <c r="AM264" s="52" t="s">
        <v>587</v>
      </c>
      <c r="AN264" s="52" t="s">
        <v>3513</v>
      </c>
      <c r="AO264" s="52" t="s">
        <v>1483</v>
      </c>
      <c r="AP264" s="52">
        <v>26425.0</v>
      </c>
      <c r="AQ264" s="52">
        <v>27925.0</v>
      </c>
      <c r="AR264" s="52" t="s">
        <v>111</v>
      </c>
      <c r="AS264" s="69">
        <v>45716.0</v>
      </c>
      <c r="AT264" s="69">
        <v>45806.0</v>
      </c>
      <c r="AU264" s="69">
        <v>45716.0</v>
      </c>
      <c r="AV264" s="69">
        <v>45804.0</v>
      </c>
      <c r="AW264" s="52" t="s">
        <v>1483</v>
      </c>
      <c r="AX264" s="52" t="s">
        <v>587</v>
      </c>
      <c r="AY264" s="52">
        <v>88.0</v>
      </c>
      <c r="BA264" s="73" t="s">
        <v>3514</v>
      </c>
      <c r="BB264" s="69">
        <v>45716.0</v>
      </c>
      <c r="BC264" s="52" t="s">
        <v>112</v>
      </c>
      <c r="BD264" s="52">
        <v>5.2528698E7</v>
      </c>
      <c r="BE264" s="52" t="s">
        <v>2129</v>
      </c>
      <c r="BF264" s="52" t="s">
        <v>113</v>
      </c>
      <c r="BG264" s="52" t="s">
        <v>2041</v>
      </c>
      <c r="BH264" s="52" t="s">
        <v>1118</v>
      </c>
    </row>
    <row r="265">
      <c r="B265" s="52" t="s">
        <v>2805</v>
      </c>
    </row>
    <row r="266">
      <c r="A266" s="52">
        <v>233.0</v>
      </c>
      <c r="B266" s="52" t="s">
        <v>1115</v>
      </c>
      <c r="C266" s="52" t="s">
        <v>2005</v>
      </c>
      <c r="D266" s="52">
        <v>1.019003737E9</v>
      </c>
      <c r="E266" s="52" t="s">
        <v>1908</v>
      </c>
      <c r="F266" s="69">
        <v>45709.0</v>
      </c>
      <c r="G266" s="52" t="s">
        <v>1117</v>
      </c>
      <c r="H266" s="52" t="s">
        <v>2121</v>
      </c>
      <c r="I266" s="52" t="s">
        <v>2121</v>
      </c>
      <c r="J266" s="52" t="s">
        <v>1478</v>
      </c>
      <c r="K266" s="52" t="s">
        <v>2059</v>
      </c>
      <c r="L266" s="52" t="s">
        <v>2010</v>
      </c>
      <c r="N266" s="52" t="s">
        <v>2010</v>
      </c>
      <c r="O266" s="69">
        <v>45707.0</v>
      </c>
      <c r="P266" s="52">
        <v>2.0251400011893E13</v>
      </c>
      <c r="Q266" s="52" t="s">
        <v>2515</v>
      </c>
      <c r="R266" s="69">
        <v>45707.0</v>
      </c>
      <c r="S266" s="52" t="s">
        <v>3515</v>
      </c>
      <c r="T266" s="52" t="s">
        <v>2013</v>
      </c>
      <c r="V266" s="52" t="s">
        <v>581</v>
      </c>
      <c r="W266" s="52" t="s">
        <v>1471</v>
      </c>
      <c r="X266" s="52" t="s">
        <v>1030</v>
      </c>
      <c r="Y266" s="52" t="s">
        <v>1116</v>
      </c>
      <c r="Z266" s="52" t="s">
        <v>2081</v>
      </c>
      <c r="AA266" s="52" t="s">
        <v>2016</v>
      </c>
      <c r="AB266" s="52" t="s">
        <v>2032</v>
      </c>
      <c r="AC266" s="52" t="s">
        <v>2033</v>
      </c>
      <c r="AD266" s="52" t="s">
        <v>587</v>
      </c>
      <c r="AE266" s="52" t="s">
        <v>2093</v>
      </c>
      <c r="AF266" s="69">
        <v>31450.0</v>
      </c>
      <c r="AG266" s="52">
        <v>39.0</v>
      </c>
      <c r="AH266" s="52" t="s">
        <v>1573</v>
      </c>
      <c r="AI266" s="52" t="s">
        <v>3516</v>
      </c>
      <c r="AJ266" s="52" t="s">
        <v>3517</v>
      </c>
      <c r="AK266" s="52" t="s">
        <v>2022</v>
      </c>
      <c r="AL266" s="52" t="s">
        <v>1875</v>
      </c>
      <c r="AM266" s="52" t="s">
        <v>587</v>
      </c>
      <c r="AN266" s="52" t="s">
        <v>1875</v>
      </c>
      <c r="AO266" s="52" t="s">
        <v>1483</v>
      </c>
      <c r="AP266" s="52">
        <v>26325.0</v>
      </c>
      <c r="AQ266" s="52">
        <v>26725.0</v>
      </c>
      <c r="AR266" s="52" t="s">
        <v>111</v>
      </c>
      <c r="AS266" s="69">
        <v>45710.0</v>
      </c>
      <c r="AT266" s="70">
        <v>46013.0</v>
      </c>
      <c r="AU266" s="69">
        <v>45712.0</v>
      </c>
      <c r="AV266" s="70">
        <v>46014.0</v>
      </c>
      <c r="AW266" s="52" t="s">
        <v>1483</v>
      </c>
      <c r="AX266" s="52" t="s">
        <v>587</v>
      </c>
      <c r="AY266" s="52">
        <v>302.0</v>
      </c>
      <c r="BA266" s="73" t="s">
        <v>3518</v>
      </c>
      <c r="BB266" s="69">
        <v>45712.0</v>
      </c>
      <c r="BC266" s="52" t="s">
        <v>666</v>
      </c>
      <c r="BD266" s="52">
        <v>4.0045111E7</v>
      </c>
      <c r="BE266" s="52" t="s">
        <v>2853</v>
      </c>
      <c r="BF266" s="52" t="s">
        <v>667</v>
      </c>
      <c r="BG266" s="52" t="s">
        <v>2041</v>
      </c>
      <c r="BH266" s="52" t="s">
        <v>1125</v>
      </c>
      <c r="BI266" s="52" t="s">
        <v>2805</v>
      </c>
    </row>
    <row r="267">
      <c r="A267" s="52">
        <v>234.0</v>
      </c>
      <c r="B267" s="52" t="s">
        <v>1119</v>
      </c>
      <c r="C267" s="52" t="s">
        <v>2005</v>
      </c>
      <c r="D267" s="52">
        <v>1.083897571E9</v>
      </c>
      <c r="E267" s="52" t="s">
        <v>1908</v>
      </c>
      <c r="F267" s="69">
        <v>45713.0</v>
      </c>
      <c r="G267" s="52" t="s">
        <v>1121</v>
      </c>
      <c r="H267" s="52" t="s">
        <v>2042</v>
      </c>
      <c r="I267" s="52" t="s">
        <v>2042</v>
      </c>
      <c r="J267" s="52" t="s">
        <v>1478</v>
      </c>
      <c r="K267" s="52" t="s">
        <v>2213</v>
      </c>
      <c r="L267" s="52" t="s">
        <v>2010</v>
      </c>
      <c r="N267" s="52" t="s">
        <v>2010</v>
      </c>
      <c r="O267" s="69">
        <v>45708.0</v>
      </c>
      <c r="P267" s="52">
        <v>2.0251500012403E13</v>
      </c>
      <c r="Q267" s="52" t="s">
        <v>2213</v>
      </c>
      <c r="R267" s="69">
        <v>45708.0</v>
      </c>
      <c r="S267" s="52" t="s">
        <v>3519</v>
      </c>
      <c r="T267" s="52" t="s">
        <v>2013</v>
      </c>
      <c r="U267" s="52" t="s">
        <v>3520</v>
      </c>
      <c r="V267" s="52" t="s">
        <v>581</v>
      </c>
      <c r="W267" s="52" t="s">
        <v>1471</v>
      </c>
      <c r="X267" s="52" t="s">
        <v>1030</v>
      </c>
      <c r="Y267" s="52" t="s">
        <v>1120</v>
      </c>
      <c r="Z267" s="52" t="s">
        <v>2081</v>
      </c>
      <c r="AA267" s="52" t="s">
        <v>2016</v>
      </c>
      <c r="AB267" s="52" t="s">
        <v>2017</v>
      </c>
      <c r="AC267" s="52" t="s">
        <v>2054</v>
      </c>
      <c r="AD267" s="52" t="s">
        <v>587</v>
      </c>
      <c r="AE267" s="52" t="s">
        <v>3521</v>
      </c>
      <c r="AF267" s="69">
        <v>33840.0</v>
      </c>
      <c r="AG267" s="52">
        <v>33.0</v>
      </c>
      <c r="AH267" s="52" t="s">
        <v>1526</v>
      </c>
      <c r="AI267" s="52" t="s">
        <v>3522</v>
      </c>
      <c r="AJ267" s="52" t="s">
        <v>3523</v>
      </c>
      <c r="AK267" s="52" t="s">
        <v>2022</v>
      </c>
      <c r="AL267" s="52" t="s">
        <v>1727</v>
      </c>
      <c r="AM267" s="52" t="s">
        <v>587</v>
      </c>
      <c r="AN267" s="52" t="s">
        <v>1727</v>
      </c>
      <c r="AO267" s="52" t="s">
        <v>1483</v>
      </c>
      <c r="AP267" s="52">
        <v>26725.0</v>
      </c>
      <c r="AQ267" s="52">
        <v>27425.0</v>
      </c>
      <c r="AR267" s="52" t="s">
        <v>53</v>
      </c>
      <c r="AS267" s="69">
        <v>45714.0</v>
      </c>
      <c r="AT267" s="70">
        <v>46017.0</v>
      </c>
      <c r="AU267" s="69">
        <v>45714.0</v>
      </c>
      <c r="AV267" s="70">
        <v>46016.0</v>
      </c>
      <c r="AW267" s="52" t="s">
        <v>1483</v>
      </c>
      <c r="AX267" s="52" t="s">
        <v>587</v>
      </c>
      <c r="AY267" s="52">
        <v>302.0</v>
      </c>
      <c r="BA267" s="73" t="s">
        <v>3524</v>
      </c>
      <c r="BB267" s="69">
        <v>45714.0</v>
      </c>
      <c r="BC267" s="52" t="s">
        <v>1286</v>
      </c>
      <c r="BD267" s="52">
        <v>8.0011445E7</v>
      </c>
      <c r="BE267" s="52" t="s">
        <v>3525</v>
      </c>
      <c r="BF267" s="52" t="s">
        <v>182</v>
      </c>
      <c r="BG267" s="52" t="s">
        <v>2041</v>
      </c>
      <c r="BH267" s="52" t="s">
        <v>1129</v>
      </c>
      <c r="BI267" s="52" t="s">
        <v>2805</v>
      </c>
    </row>
    <row r="268">
      <c r="A268" s="52">
        <v>235.0</v>
      </c>
      <c r="B268" s="52" t="s">
        <v>1122</v>
      </c>
      <c r="C268" s="52" t="s">
        <v>2005</v>
      </c>
      <c r="D268" s="52">
        <v>1.002537103E9</v>
      </c>
      <c r="E268" s="52" t="s">
        <v>1908</v>
      </c>
      <c r="F268" s="69">
        <v>45713.0</v>
      </c>
      <c r="G268" s="52" t="s">
        <v>1124</v>
      </c>
      <c r="H268" s="52" t="s">
        <v>2042</v>
      </c>
      <c r="I268" s="52" t="s">
        <v>2042</v>
      </c>
      <c r="J268" s="52" t="s">
        <v>1478</v>
      </c>
      <c r="K268" s="52" t="s">
        <v>2213</v>
      </c>
      <c r="L268" s="52" t="s">
        <v>2010</v>
      </c>
      <c r="N268" s="52" t="s">
        <v>2010</v>
      </c>
      <c r="O268" s="69">
        <v>45708.0</v>
      </c>
      <c r="P268" s="52">
        <v>2.0251500012503E13</v>
      </c>
      <c r="Q268" s="52" t="s">
        <v>2213</v>
      </c>
      <c r="R268" s="69">
        <v>45708.0</v>
      </c>
      <c r="S268" s="52" t="s">
        <v>3526</v>
      </c>
      <c r="T268" s="52" t="s">
        <v>2013</v>
      </c>
      <c r="U268" s="52" t="s">
        <v>3527</v>
      </c>
      <c r="V268" s="52" t="s">
        <v>581</v>
      </c>
      <c r="W268" s="52" t="s">
        <v>1471</v>
      </c>
      <c r="X268" s="52" t="s">
        <v>1030</v>
      </c>
      <c r="Y268" s="52" t="s">
        <v>1123</v>
      </c>
      <c r="Z268" s="52" t="s">
        <v>2081</v>
      </c>
      <c r="AA268" s="52" t="s">
        <v>2016</v>
      </c>
      <c r="AB268" s="52" t="s">
        <v>2032</v>
      </c>
      <c r="AC268" s="52" t="s">
        <v>2033</v>
      </c>
      <c r="AD268" s="52" t="s">
        <v>587</v>
      </c>
      <c r="AE268" s="52" t="s">
        <v>3528</v>
      </c>
      <c r="AF268" s="69">
        <v>36307.0</v>
      </c>
      <c r="AG268" s="52">
        <v>26.0</v>
      </c>
      <c r="AH268" s="52" t="s">
        <v>1526</v>
      </c>
      <c r="AI268" s="52" t="s">
        <v>3529</v>
      </c>
      <c r="AJ268" s="52" t="s">
        <v>3530</v>
      </c>
      <c r="AK268" s="52" t="s">
        <v>2022</v>
      </c>
      <c r="AL268" s="52" t="s">
        <v>3531</v>
      </c>
      <c r="AM268" s="52" t="s">
        <v>587</v>
      </c>
      <c r="AN268" s="52" t="s">
        <v>3531</v>
      </c>
      <c r="AO268" s="52" t="s">
        <v>1483</v>
      </c>
      <c r="AP268" s="52">
        <v>26825.0</v>
      </c>
      <c r="AQ268" s="52">
        <v>27525.0</v>
      </c>
      <c r="AR268" s="52" t="s">
        <v>53</v>
      </c>
      <c r="AS268" s="69">
        <v>45716.0</v>
      </c>
      <c r="AT268" s="70">
        <v>46022.0</v>
      </c>
      <c r="AU268" s="69">
        <v>45716.0</v>
      </c>
      <c r="AV268" s="70">
        <v>46022.0</v>
      </c>
      <c r="AW268" s="52" t="s">
        <v>1483</v>
      </c>
      <c r="AX268" s="52" t="s">
        <v>587</v>
      </c>
      <c r="AY268" s="52">
        <v>306.0</v>
      </c>
      <c r="BA268" s="73" t="s">
        <v>3532</v>
      </c>
      <c r="BB268" s="69">
        <v>45715.0</v>
      </c>
      <c r="BC268" s="52" t="s">
        <v>3533</v>
      </c>
      <c r="BD268" s="52">
        <v>1.010189785E9</v>
      </c>
      <c r="BE268" s="52" t="s">
        <v>3534</v>
      </c>
      <c r="BF268" s="52" t="s">
        <v>182</v>
      </c>
      <c r="BG268" s="52" t="s">
        <v>72</v>
      </c>
      <c r="BH268" s="52" t="s">
        <v>1134</v>
      </c>
      <c r="BI268" s="52" t="s">
        <v>2805</v>
      </c>
    </row>
    <row r="269">
      <c r="A269" s="52">
        <v>236.0</v>
      </c>
      <c r="B269" s="52" t="s">
        <v>1126</v>
      </c>
      <c r="C269" s="52" t="s">
        <v>2005</v>
      </c>
      <c r="D269" s="52">
        <v>8.0111613E7</v>
      </c>
      <c r="E269" s="52" t="s">
        <v>1908</v>
      </c>
      <c r="F269" s="69">
        <v>45715.0</v>
      </c>
      <c r="G269" s="52" t="s">
        <v>1128</v>
      </c>
      <c r="H269" s="52" t="s">
        <v>2121</v>
      </c>
      <c r="I269" s="52" t="s">
        <v>2121</v>
      </c>
      <c r="J269" s="52" t="s">
        <v>1478</v>
      </c>
      <c r="K269" s="52" t="s">
        <v>2515</v>
      </c>
      <c r="L269" s="52" t="s">
        <v>2010</v>
      </c>
      <c r="N269" s="52" t="s">
        <v>2010</v>
      </c>
      <c r="O269" s="69">
        <v>45708.0</v>
      </c>
      <c r="P269" s="52">
        <v>2.0251900012603E13</v>
      </c>
      <c r="Q269" s="52" t="s">
        <v>2515</v>
      </c>
      <c r="R269" s="69">
        <v>45709.0</v>
      </c>
      <c r="S269" s="52" t="s">
        <v>3535</v>
      </c>
      <c r="T269" s="52" t="s">
        <v>2013</v>
      </c>
      <c r="U269" s="52" t="s">
        <v>3536</v>
      </c>
      <c r="V269" s="52" t="s">
        <v>581</v>
      </c>
      <c r="W269" s="52" t="s">
        <v>1471</v>
      </c>
      <c r="X269" s="52" t="s">
        <v>1030</v>
      </c>
      <c r="Y269" s="52" t="s">
        <v>1127</v>
      </c>
      <c r="Z269" s="52" t="s">
        <v>2081</v>
      </c>
      <c r="AA269" s="52" t="s">
        <v>2016</v>
      </c>
      <c r="AB269" s="52" t="s">
        <v>2470</v>
      </c>
      <c r="AC269" s="52" t="s">
        <v>2054</v>
      </c>
      <c r="AD269" s="52" t="s">
        <v>587</v>
      </c>
      <c r="AE269" s="52" t="s">
        <v>2093</v>
      </c>
      <c r="AF269" s="69">
        <v>30565.0</v>
      </c>
      <c r="AG269" s="52">
        <v>42.0</v>
      </c>
      <c r="AH269" s="52" t="s">
        <v>1625</v>
      </c>
      <c r="AI269" s="52" t="s">
        <v>3529</v>
      </c>
      <c r="AJ269" s="52" t="s">
        <v>3537</v>
      </c>
      <c r="AK269" s="52" t="s">
        <v>2022</v>
      </c>
      <c r="AL269" s="52" t="s">
        <v>1876</v>
      </c>
      <c r="AM269" s="52" t="s">
        <v>587</v>
      </c>
      <c r="AN269" s="52" t="s">
        <v>1876</v>
      </c>
      <c r="AO269" s="52" t="s">
        <v>1483</v>
      </c>
      <c r="AP269" s="52">
        <v>26625.0</v>
      </c>
      <c r="AQ269" s="52">
        <v>28025.0</v>
      </c>
      <c r="AR269" s="52" t="s">
        <v>1298</v>
      </c>
      <c r="AS269" s="69">
        <v>45716.0</v>
      </c>
      <c r="AT269" s="70">
        <v>46022.0</v>
      </c>
      <c r="AU269" s="69">
        <v>45716.0</v>
      </c>
      <c r="AV269" s="70">
        <v>46022.0</v>
      </c>
      <c r="AW269" s="52" t="s">
        <v>1483</v>
      </c>
      <c r="AX269" s="52" t="s">
        <v>587</v>
      </c>
      <c r="AY269" s="52">
        <v>306.0</v>
      </c>
      <c r="BA269" s="73" t="s">
        <v>3538</v>
      </c>
      <c r="BB269" s="69">
        <v>45716.0</v>
      </c>
      <c r="BC269" s="52" t="s">
        <v>3539</v>
      </c>
      <c r="BD269" s="70">
        <v>1.7342397E7</v>
      </c>
      <c r="BE269" s="52" t="s">
        <v>3320</v>
      </c>
      <c r="BF269" s="52" t="s">
        <v>106</v>
      </c>
      <c r="BG269" s="52" t="s">
        <v>2041</v>
      </c>
      <c r="BH269" s="52" t="s">
        <v>1139</v>
      </c>
      <c r="BI269" s="52" t="s">
        <v>2805</v>
      </c>
    </row>
    <row r="270">
      <c r="A270" s="52">
        <v>237.0</v>
      </c>
      <c r="B270" s="52" t="s">
        <v>1130</v>
      </c>
      <c r="C270" s="52" t="s">
        <v>2005</v>
      </c>
      <c r="D270" s="52">
        <v>1.00022301E9</v>
      </c>
      <c r="E270" s="52" t="s">
        <v>1908</v>
      </c>
      <c r="F270" s="69">
        <v>45714.0</v>
      </c>
      <c r="G270" s="52" t="s">
        <v>1132</v>
      </c>
      <c r="H270" s="52" t="s">
        <v>2257</v>
      </c>
      <c r="I270" s="52" t="s">
        <v>2257</v>
      </c>
      <c r="J270" s="52" t="s">
        <v>1478</v>
      </c>
      <c r="K270" s="52" t="s">
        <v>2059</v>
      </c>
      <c r="L270" s="52" t="s">
        <v>2010</v>
      </c>
      <c r="N270" s="52" t="s">
        <v>2010</v>
      </c>
      <c r="O270" s="69">
        <v>45709.0</v>
      </c>
      <c r="P270" s="52">
        <v>2.0251800012703E13</v>
      </c>
      <c r="Q270" s="52" t="s">
        <v>2059</v>
      </c>
      <c r="R270" s="69">
        <v>45709.0</v>
      </c>
      <c r="S270" s="52" t="s">
        <v>3540</v>
      </c>
      <c r="T270" s="52" t="s">
        <v>2013</v>
      </c>
      <c r="U270" s="52" t="s">
        <v>3541</v>
      </c>
      <c r="V270" s="52" t="s">
        <v>581</v>
      </c>
      <c r="W270" s="52" t="s">
        <v>1471</v>
      </c>
      <c r="X270" s="52" t="s">
        <v>781</v>
      </c>
      <c r="Y270" s="52" t="s">
        <v>1131</v>
      </c>
      <c r="Z270" s="52" t="s">
        <v>2081</v>
      </c>
      <c r="AA270" s="52" t="s">
        <v>2054</v>
      </c>
      <c r="AB270" s="52" t="s">
        <v>2032</v>
      </c>
      <c r="AC270" s="52" t="s">
        <v>2018</v>
      </c>
      <c r="AD270" s="52" t="s">
        <v>587</v>
      </c>
      <c r="AE270" s="52" t="s">
        <v>2093</v>
      </c>
      <c r="AF270" s="69">
        <v>36670.0</v>
      </c>
      <c r="AG270" s="52">
        <v>25.0</v>
      </c>
      <c r="AH270" s="52" t="s">
        <v>1877</v>
      </c>
      <c r="AI270" s="52" t="s">
        <v>39</v>
      </c>
      <c r="AJ270" s="52" t="s">
        <v>3542</v>
      </c>
      <c r="AK270" s="52" t="s">
        <v>2022</v>
      </c>
      <c r="AL270" s="52" t="s">
        <v>1878</v>
      </c>
      <c r="AM270" s="52" t="s">
        <v>587</v>
      </c>
      <c r="AN270" s="52" t="s">
        <v>1878</v>
      </c>
      <c r="AO270" s="52" t="s">
        <v>1483</v>
      </c>
      <c r="AP270" s="52">
        <v>25225.0</v>
      </c>
      <c r="AQ270" s="52">
        <v>27625.0</v>
      </c>
      <c r="AR270" s="52" t="s">
        <v>228</v>
      </c>
      <c r="AS270" s="69">
        <v>45716.0</v>
      </c>
      <c r="AT270" s="70">
        <v>46022.0</v>
      </c>
      <c r="AU270" s="69">
        <v>45716.0</v>
      </c>
      <c r="AV270" s="70">
        <v>46022.0</v>
      </c>
      <c r="AW270" s="52" t="s">
        <v>1483</v>
      </c>
      <c r="AX270" s="52" t="s">
        <v>587</v>
      </c>
      <c r="AY270" s="52">
        <v>306.0</v>
      </c>
      <c r="BA270" s="73" t="s">
        <v>3543</v>
      </c>
      <c r="BB270" s="69">
        <v>45715.0</v>
      </c>
      <c r="BC270" s="52" t="s">
        <v>375</v>
      </c>
      <c r="BD270" s="52">
        <v>1.01842287E9</v>
      </c>
      <c r="BE270" s="52" t="s">
        <v>2453</v>
      </c>
      <c r="BF270" s="52" t="s">
        <v>193</v>
      </c>
      <c r="BG270" s="52" t="s">
        <v>2041</v>
      </c>
      <c r="BH270" s="52" t="s">
        <v>1143</v>
      </c>
      <c r="BI270" s="52" t="s">
        <v>2805</v>
      </c>
    </row>
    <row r="271">
      <c r="A271" s="52">
        <v>238.0</v>
      </c>
      <c r="B271" s="52" t="s">
        <v>1135</v>
      </c>
      <c r="C271" s="52" t="s">
        <v>2005</v>
      </c>
      <c r="D271" s="52">
        <v>7.9942061E7</v>
      </c>
      <c r="E271" s="52" t="s">
        <v>1908</v>
      </c>
      <c r="F271" s="69">
        <v>45742.0</v>
      </c>
      <c r="G271" s="52" t="s">
        <v>1137</v>
      </c>
      <c r="H271" s="52" t="s">
        <v>2177</v>
      </c>
      <c r="I271" s="52" t="s">
        <v>2177</v>
      </c>
      <c r="J271" s="52" t="s">
        <v>1478</v>
      </c>
      <c r="K271" s="52" t="s">
        <v>2515</v>
      </c>
      <c r="L271" s="52" t="s">
        <v>2010</v>
      </c>
      <c r="N271" s="52" t="s">
        <v>2010</v>
      </c>
      <c r="O271" s="69">
        <v>45711.0</v>
      </c>
      <c r="P271" s="52">
        <v>2.0251700012803E13</v>
      </c>
      <c r="Q271" s="52" t="s">
        <v>2515</v>
      </c>
      <c r="R271" s="69">
        <v>45712.0</v>
      </c>
      <c r="S271" s="52" t="s">
        <v>3544</v>
      </c>
      <c r="T271" s="52" t="s">
        <v>2013</v>
      </c>
      <c r="U271" s="52" t="s">
        <v>3545</v>
      </c>
      <c r="V271" s="52" t="s">
        <v>1133</v>
      </c>
      <c r="W271" s="52" t="s">
        <v>1471</v>
      </c>
      <c r="X271" s="52" t="s">
        <v>1133</v>
      </c>
      <c r="Y271" s="52" t="s">
        <v>1136</v>
      </c>
      <c r="Z271" s="52" t="s">
        <v>2081</v>
      </c>
      <c r="AA271" s="52" t="s">
        <v>39</v>
      </c>
      <c r="AB271" s="52" t="s">
        <v>39</v>
      </c>
      <c r="AC271" s="52" t="s">
        <v>39</v>
      </c>
      <c r="AD271" s="52" t="s">
        <v>587</v>
      </c>
      <c r="AE271" s="52" t="s">
        <v>39</v>
      </c>
      <c r="AF271" s="52" t="s">
        <v>39</v>
      </c>
      <c r="AG271" s="52" t="s">
        <v>2310</v>
      </c>
      <c r="AH271" s="52" t="s">
        <v>39</v>
      </c>
      <c r="AI271" s="52" t="s">
        <v>3546</v>
      </c>
      <c r="AJ271" s="52" t="s">
        <v>2112</v>
      </c>
      <c r="AK271" s="52" t="s">
        <v>2022</v>
      </c>
      <c r="AL271" s="52" t="s">
        <v>1879</v>
      </c>
      <c r="AM271" s="52" t="s">
        <v>587</v>
      </c>
      <c r="AN271" s="52" t="s">
        <v>1879</v>
      </c>
      <c r="AO271" s="52" t="s">
        <v>1483</v>
      </c>
      <c r="AP271" s="52">
        <v>26225.0</v>
      </c>
      <c r="AQ271" s="52" t="s">
        <v>1879</v>
      </c>
      <c r="AR271" s="52" t="s">
        <v>1879</v>
      </c>
      <c r="AS271" s="52" t="s">
        <v>1879</v>
      </c>
      <c r="AT271" s="52" t="s">
        <v>1879</v>
      </c>
      <c r="AU271" s="69">
        <v>45708.0</v>
      </c>
      <c r="AV271" s="70">
        <v>46387.0</v>
      </c>
      <c r="AW271" s="52" t="s">
        <v>1483</v>
      </c>
      <c r="AX271" s="52" t="s">
        <v>587</v>
      </c>
      <c r="AY271" s="52">
        <v>679.0</v>
      </c>
      <c r="BA271" s="52" t="s">
        <v>39</v>
      </c>
      <c r="BB271" s="69">
        <v>45712.0</v>
      </c>
      <c r="BC271" s="52" t="s">
        <v>3547</v>
      </c>
      <c r="BD271" s="69">
        <v>1.0012294E7</v>
      </c>
      <c r="BE271" s="52" t="s">
        <v>2112</v>
      </c>
      <c r="BF271" s="52" t="s">
        <v>1540</v>
      </c>
      <c r="BG271" s="52" t="s">
        <v>2041</v>
      </c>
      <c r="BH271" s="52" t="s">
        <v>1147</v>
      </c>
      <c r="BI271" s="52" t="s">
        <v>1879</v>
      </c>
    </row>
    <row r="272">
      <c r="A272" s="52">
        <v>239.0</v>
      </c>
      <c r="B272" s="52" t="s">
        <v>1140</v>
      </c>
      <c r="C272" s="52" t="s">
        <v>2307</v>
      </c>
      <c r="D272" s="52" t="s">
        <v>3548</v>
      </c>
      <c r="E272" s="52" t="s">
        <v>3549</v>
      </c>
      <c r="F272" s="69">
        <v>45719.0</v>
      </c>
      <c r="G272" s="52" t="s">
        <v>1142</v>
      </c>
      <c r="H272" s="52" t="s">
        <v>2291</v>
      </c>
      <c r="I272" s="52" t="s">
        <v>2291</v>
      </c>
      <c r="J272" s="52" t="s">
        <v>1478</v>
      </c>
      <c r="K272" s="52" t="s">
        <v>2612</v>
      </c>
      <c r="L272" s="52" t="s">
        <v>2010</v>
      </c>
      <c r="N272" s="52" t="s">
        <v>1908</v>
      </c>
      <c r="O272" s="69">
        <v>45715.0</v>
      </c>
      <c r="P272" s="52">
        <v>2.0251020013553E13</v>
      </c>
      <c r="Q272" s="52" t="s">
        <v>2612</v>
      </c>
      <c r="R272" s="69">
        <v>45715.0</v>
      </c>
      <c r="S272" s="52" t="s">
        <v>3550</v>
      </c>
      <c r="T272" s="52" t="s">
        <v>2013</v>
      </c>
      <c r="U272" s="52" t="s">
        <v>3551</v>
      </c>
      <c r="V272" s="52" t="s">
        <v>581</v>
      </c>
      <c r="W272" s="52" t="s">
        <v>1555</v>
      </c>
      <c r="X272" s="52" t="s">
        <v>1030</v>
      </c>
      <c r="Y272" s="52" t="s">
        <v>1141</v>
      </c>
      <c r="AA272" s="52" t="s">
        <v>39</v>
      </c>
      <c r="AB272" s="52" t="s">
        <v>39</v>
      </c>
      <c r="AC272" s="52" t="s">
        <v>39</v>
      </c>
      <c r="AD272" s="69">
        <v>45721.0</v>
      </c>
      <c r="AE272" s="52" t="s">
        <v>39</v>
      </c>
      <c r="AF272" s="52" t="s">
        <v>39</v>
      </c>
      <c r="AG272" s="52" t="s">
        <v>2310</v>
      </c>
      <c r="AH272" s="52" t="s">
        <v>39</v>
      </c>
      <c r="AI272" s="52" t="s">
        <v>3552</v>
      </c>
      <c r="AJ272" s="52" t="s">
        <v>3553</v>
      </c>
      <c r="AK272" s="52" t="s">
        <v>2022</v>
      </c>
      <c r="AL272" s="52">
        <v>1.3E8</v>
      </c>
      <c r="AM272" s="52" t="s">
        <v>587</v>
      </c>
      <c r="AN272" s="71">
        <v>1.3E8</v>
      </c>
      <c r="AO272" s="52" t="s">
        <v>1483</v>
      </c>
      <c r="AP272" s="52">
        <v>27725.0</v>
      </c>
      <c r="AQ272" s="52">
        <v>28425.0</v>
      </c>
      <c r="AR272" s="52" t="s">
        <v>351</v>
      </c>
      <c r="AS272" s="52" t="s">
        <v>1879</v>
      </c>
      <c r="AT272" s="52" t="s">
        <v>1879</v>
      </c>
      <c r="AU272" s="69">
        <v>45722.0</v>
      </c>
      <c r="AV272" s="70">
        <v>46022.0</v>
      </c>
      <c r="AW272" s="52" t="s">
        <v>1483</v>
      </c>
      <c r="AX272" s="69">
        <v>46203.0</v>
      </c>
      <c r="AY272" s="52">
        <v>300.0</v>
      </c>
      <c r="BA272" s="73" t="s">
        <v>3554</v>
      </c>
      <c r="BB272" s="69">
        <v>45722.0</v>
      </c>
      <c r="BC272" s="52" t="s">
        <v>328</v>
      </c>
      <c r="BD272" s="52">
        <v>1.016024615E9</v>
      </c>
      <c r="BE272" s="52" t="s">
        <v>2212</v>
      </c>
      <c r="BF272" s="52" t="s">
        <v>258</v>
      </c>
      <c r="BG272" s="52" t="s">
        <v>2041</v>
      </c>
      <c r="BH272" s="52" t="s">
        <v>1151</v>
      </c>
      <c r="BI272" s="52" t="s">
        <v>3390</v>
      </c>
    </row>
    <row r="273">
      <c r="A273" s="52">
        <v>240.0</v>
      </c>
      <c r="B273" s="52" t="s">
        <v>1144</v>
      </c>
      <c r="C273" s="52" t="s">
        <v>2005</v>
      </c>
      <c r="D273" s="52">
        <v>5.2220531E7</v>
      </c>
      <c r="E273" s="52" t="s">
        <v>1908</v>
      </c>
      <c r="F273" s="69">
        <v>45729.0</v>
      </c>
      <c r="G273" s="52" t="s">
        <v>1146</v>
      </c>
      <c r="H273" s="52" t="s">
        <v>3555</v>
      </c>
      <c r="I273" s="52" t="s">
        <v>2028</v>
      </c>
      <c r="J273" s="52" t="s">
        <v>1478</v>
      </c>
      <c r="K273" s="52" t="s">
        <v>2029</v>
      </c>
      <c r="L273" s="52" t="s">
        <v>2010</v>
      </c>
      <c r="N273" s="52" t="s">
        <v>2010</v>
      </c>
      <c r="O273" s="69">
        <v>45726.0</v>
      </c>
      <c r="P273" s="52">
        <v>2.0251130017263E13</v>
      </c>
      <c r="Q273" s="52" t="s">
        <v>2029</v>
      </c>
      <c r="R273" s="69">
        <v>45726.0</v>
      </c>
      <c r="S273" s="52" t="s">
        <v>3556</v>
      </c>
      <c r="T273" s="52" t="s">
        <v>2013</v>
      </c>
      <c r="U273" s="52" t="s">
        <v>3557</v>
      </c>
      <c r="V273" s="52" t="s">
        <v>581</v>
      </c>
      <c r="W273" s="52" t="s">
        <v>1471</v>
      </c>
      <c r="X273" s="52" t="s">
        <v>1030</v>
      </c>
      <c r="Y273" s="52" t="s">
        <v>1881</v>
      </c>
      <c r="Z273" s="52" t="s">
        <v>2015</v>
      </c>
      <c r="AA273" s="52" t="s">
        <v>39</v>
      </c>
      <c r="AB273" s="52" t="s">
        <v>39</v>
      </c>
      <c r="AC273" s="52" t="s">
        <v>39</v>
      </c>
      <c r="AD273" s="52" t="s">
        <v>587</v>
      </c>
      <c r="AE273" s="52" t="s">
        <v>39</v>
      </c>
      <c r="AF273" s="52" t="s">
        <v>39</v>
      </c>
      <c r="AG273" s="52" t="s">
        <v>2310</v>
      </c>
      <c r="AH273" s="52" t="s">
        <v>39</v>
      </c>
      <c r="AI273" s="52" t="s">
        <v>3558</v>
      </c>
      <c r="AJ273" s="52" t="s">
        <v>3559</v>
      </c>
      <c r="AK273" s="52" t="s">
        <v>2022</v>
      </c>
      <c r="AL273" s="52" t="s">
        <v>1882</v>
      </c>
      <c r="AM273" s="52" t="s">
        <v>587</v>
      </c>
      <c r="AN273" s="52" t="s">
        <v>1882</v>
      </c>
      <c r="AO273" s="52" t="s">
        <v>1483</v>
      </c>
      <c r="AP273" s="52">
        <v>27725.0</v>
      </c>
      <c r="AS273" s="69">
        <v>45730.0</v>
      </c>
      <c r="AT273" s="70">
        <v>45959.0</v>
      </c>
      <c r="AU273" s="69">
        <v>45730.0</v>
      </c>
      <c r="AV273" s="70">
        <v>45958.0</v>
      </c>
      <c r="AW273" s="52" t="s">
        <v>1483</v>
      </c>
      <c r="AX273" s="52" t="s">
        <v>587</v>
      </c>
      <c r="AY273" s="52">
        <v>228.0</v>
      </c>
      <c r="BA273" s="73" t="s">
        <v>3554</v>
      </c>
      <c r="BB273" s="69">
        <v>45730.0</v>
      </c>
      <c r="BC273" s="52" t="s">
        <v>328</v>
      </c>
      <c r="BD273" s="52">
        <v>1.016024615E9</v>
      </c>
      <c r="BE273" s="52" t="s">
        <v>2212</v>
      </c>
      <c r="BF273" s="52" t="s">
        <v>176</v>
      </c>
      <c r="BG273" s="52" t="s">
        <v>2041</v>
      </c>
      <c r="BH273" s="52" t="s">
        <v>1155</v>
      </c>
      <c r="BI273" s="52" t="s">
        <v>3390</v>
      </c>
    </row>
    <row r="274">
      <c r="A274" s="52">
        <v>241.0</v>
      </c>
      <c r="B274" s="52" t="s">
        <v>1148</v>
      </c>
      <c r="C274" s="52" t="s">
        <v>2005</v>
      </c>
      <c r="D274" s="52">
        <v>1.030562466E9</v>
      </c>
      <c r="E274" s="52" t="s">
        <v>1908</v>
      </c>
      <c r="F274" s="69">
        <v>45719.0</v>
      </c>
      <c r="G274" s="52" t="s">
        <v>1150</v>
      </c>
      <c r="H274" s="52" t="s">
        <v>2088</v>
      </c>
      <c r="I274" s="52" t="s">
        <v>2088</v>
      </c>
      <c r="J274" s="52" t="s">
        <v>1478</v>
      </c>
      <c r="K274" s="52" t="s">
        <v>2612</v>
      </c>
      <c r="L274" s="52" t="s">
        <v>2010</v>
      </c>
      <c r="N274" s="52" t="s">
        <v>2010</v>
      </c>
      <c r="O274" s="69">
        <v>45715.0</v>
      </c>
      <c r="P274" s="52">
        <v>2.0251000013643E13</v>
      </c>
      <c r="Q274" s="52" t="s">
        <v>2612</v>
      </c>
      <c r="R274" s="69">
        <v>46446.0</v>
      </c>
      <c r="S274" s="52" t="s">
        <v>3560</v>
      </c>
      <c r="T274" s="52" t="s">
        <v>2013</v>
      </c>
      <c r="U274" s="52" t="s">
        <v>3561</v>
      </c>
      <c r="V274" s="52" t="s">
        <v>581</v>
      </c>
      <c r="W274" s="52" t="s">
        <v>1471</v>
      </c>
      <c r="X274" s="52" t="s">
        <v>583</v>
      </c>
      <c r="Y274" s="52" t="s">
        <v>1149</v>
      </c>
      <c r="Z274" s="52" t="s">
        <v>2081</v>
      </c>
      <c r="AD274" s="52" t="s">
        <v>587</v>
      </c>
      <c r="AG274" s="52">
        <v>126.0</v>
      </c>
      <c r="AJ274" s="52" t="s">
        <v>3562</v>
      </c>
      <c r="AK274" s="52" t="s">
        <v>2022</v>
      </c>
      <c r="AL274" s="52">
        <v>7.875E7</v>
      </c>
      <c r="AM274" s="52" t="s">
        <v>587</v>
      </c>
      <c r="AN274" s="71">
        <v>7.875E7</v>
      </c>
      <c r="AO274" s="52" t="s">
        <v>1483</v>
      </c>
      <c r="AP274" s="52">
        <v>27825.0</v>
      </c>
      <c r="AQ274" s="52">
        <v>28525.0</v>
      </c>
      <c r="AR274" s="52" t="s">
        <v>228</v>
      </c>
      <c r="AS274" s="69">
        <v>45720.0</v>
      </c>
      <c r="AT274" s="70">
        <v>46022.0</v>
      </c>
      <c r="AU274" s="69">
        <v>45720.0</v>
      </c>
      <c r="AV274" s="70">
        <v>46022.0</v>
      </c>
      <c r="AW274" s="52" t="s">
        <v>1483</v>
      </c>
      <c r="AX274" s="52" t="s">
        <v>587</v>
      </c>
      <c r="AY274" s="52">
        <v>302.0</v>
      </c>
      <c r="BB274" s="69">
        <v>45720.0</v>
      </c>
      <c r="BC274" s="52" t="s">
        <v>375</v>
      </c>
      <c r="BD274" s="52">
        <v>1.01842287E9</v>
      </c>
      <c r="BE274" s="52" t="s">
        <v>2453</v>
      </c>
      <c r="BF274" s="52" t="s">
        <v>193</v>
      </c>
      <c r="BG274" s="52" t="s">
        <v>2041</v>
      </c>
      <c r="BH274" s="52" t="s">
        <v>1159</v>
      </c>
      <c r="BI274" s="52" t="s">
        <v>3390</v>
      </c>
    </row>
    <row r="275">
      <c r="A275" s="52">
        <v>242.0</v>
      </c>
      <c r="B275" s="52" t="s">
        <v>1152</v>
      </c>
      <c r="C275" s="52" t="s">
        <v>2005</v>
      </c>
      <c r="D275" s="52">
        <v>1.05377392E9</v>
      </c>
      <c r="E275" s="52" t="s">
        <v>1908</v>
      </c>
      <c r="F275" s="69">
        <v>45721.0</v>
      </c>
      <c r="G275" s="52" t="s">
        <v>1154</v>
      </c>
      <c r="H275" s="52" t="s">
        <v>2042</v>
      </c>
      <c r="I275" s="52" t="s">
        <v>2042</v>
      </c>
      <c r="J275" s="52" t="s">
        <v>1478</v>
      </c>
      <c r="K275" s="52" t="s">
        <v>2612</v>
      </c>
      <c r="L275" s="52" t="s">
        <v>2010</v>
      </c>
      <c r="N275" s="52" t="s">
        <v>2010</v>
      </c>
      <c r="O275" s="69">
        <v>46446.0</v>
      </c>
      <c r="P275" s="52">
        <v>2.0251500013933E13</v>
      </c>
      <c r="Q275" s="52" t="s">
        <v>2612</v>
      </c>
      <c r="R275" s="69">
        <v>46446.0</v>
      </c>
      <c r="S275" s="52" t="s">
        <v>3563</v>
      </c>
      <c r="T275" s="52" t="s">
        <v>2013</v>
      </c>
      <c r="U275" s="52" t="s">
        <v>3173</v>
      </c>
      <c r="V275" s="52" t="s">
        <v>581</v>
      </c>
      <c r="W275" s="52" t="s">
        <v>1471</v>
      </c>
      <c r="X275" s="52" t="s">
        <v>583</v>
      </c>
      <c r="Y275" s="52" t="s">
        <v>1153</v>
      </c>
      <c r="Z275" s="52" t="s">
        <v>2015</v>
      </c>
      <c r="AA275" s="52" t="s">
        <v>2016</v>
      </c>
      <c r="AB275" s="52" t="s">
        <v>2032</v>
      </c>
      <c r="AC275" s="52" t="s">
        <v>2033</v>
      </c>
      <c r="AD275" s="52" t="s">
        <v>587</v>
      </c>
      <c r="AE275" s="52" t="s">
        <v>3137</v>
      </c>
      <c r="AF275" s="69">
        <v>31811.0</v>
      </c>
      <c r="AG275" s="52">
        <v>38.0</v>
      </c>
      <c r="AH275" s="52" t="s">
        <v>1744</v>
      </c>
      <c r="AI275" s="52" t="s">
        <v>2557</v>
      </c>
      <c r="AJ275" s="52" t="s">
        <v>2558</v>
      </c>
      <c r="AK275" s="52" t="s">
        <v>2022</v>
      </c>
      <c r="AL275" s="52">
        <v>7.2966E7</v>
      </c>
      <c r="AM275" s="52" t="s">
        <v>587</v>
      </c>
      <c r="AN275" s="71">
        <v>7.2966E7</v>
      </c>
      <c r="AO275" s="52" t="s">
        <v>1483</v>
      </c>
      <c r="AP275" s="52">
        <v>18125.0</v>
      </c>
      <c r="AQ275" s="52">
        <v>29325.0</v>
      </c>
      <c r="AR275" s="52" t="s">
        <v>53</v>
      </c>
      <c r="AS275" s="69">
        <v>45723.0</v>
      </c>
      <c r="AT275" s="70">
        <v>46022.0</v>
      </c>
      <c r="AU275" s="69">
        <v>45726.0</v>
      </c>
      <c r="AV275" s="70">
        <v>46022.0</v>
      </c>
      <c r="AW275" s="52" t="s">
        <v>1483</v>
      </c>
      <c r="AX275" s="52" t="s">
        <v>587</v>
      </c>
      <c r="AY275" s="52">
        <v>296.0</v>
      </c>
      <c r="BA275" s="73" t="s">
        <v>3564</v>
      </c>
      <c r="BB275" s="69">
        <v>45726.0</v>
      </c>
      <c r="BC275" s="52" t="s">
        <v>3565</v>
      </c>
      <c r="BD275" s="69">
        <v>2.0500047E7</v>
      </c>
      <c r="BE275" s="52" t="s">
        <v>3227</v>
      </c>
      <c r="BF275" s="52" t="s">
        <v>182</v>
      </c>
      <c r="BG275" s="52" t="s">
        <v>2041</v>
      </c>
      <c r="BH275" s="52" t="s">
        <v>1163</v>
      </c>
      <c r="BI275" s="52" t="s">
        <v>3390</v>
      </c>
    </row>
    <row r="276">
      <c r="A276" s="52">
        <v>243.0</v>
      </c>
      <c r="B276" s="52" t="s">
        <v>1156</v>
      </c>
      <c r="E276" s="52" t="s">
        <v>1908</v>
      </c>
      <c r="F276" s="69">
        <v>45728.0</v>
      </c>
      <c r="G276" s="52" t="s">
        <v>1158</v>
      </c>
      <c r="H276" s="52" t="s">
        <v>3555</v>
      </c>
      <c r="I276" s="52" t="s">
        <v>2028</v>
      </c>
      <c r="J276" s="52" t="s">
        <v>1478</v>
      </c>
      <c r="K276" s="52" t="s">
        <v>2029</v>
      </c>
      <c r="L276" s="52" t="s">
        <v>2010</v>
      </c>
      <c r="N276" s="52" t="s">
        <v>2010</v>
      </c>
      <c r="O276" s="69">
        <v>45726.0</v>
      </c>
      <c r="P276" s="52">
        <v>2.0251130016643E13</v>
      </c>
      <c r="Q276" s="52" t="s">
        <v>2029</v>
      </c>
      <c r="R276" s="69">
        <v>45726.0</v>
      </c>
      <c r="S276" s="52" t="s">
        <v>3566</v>
      </c>
      <c r="T276" s="52" t="s">
        <v>2013</v>
      </c>
      <c r="U276" s="52" t="s">
        <v>3567</v>
      </c>
      <c r="X276" s="52" t="s">
        <v>583</v>
      </c>
      <c r="AD276" s="52" t="s">
        <v>587</v>
      </c>
      <c r="AG276" s="52">
        <v>126.0</v>
      </c>
      <c r="AJ276" s="52" t="s">
        <v>3568</v>
      </c>
      <c r="AK276" s="52" t="s">
        <v>2022</v>
      </c>
      <c r="AL276" s="52">
        <v>7.89E7</v>
      </c>
      <c r="AM276" s="52" t="s">
        <v>587</v>
      </c>
      <c r="AN276" s="71">
        <v>7.89E7</v>
      </c>
      <c r="AO276" s="52" t="s">
        <v>1483</v>
      </c>
      <c r="AQ276" s="52">
        <v>30025.0</v>
      </c>
      <c r="AR276" s="52" t="s">
        <v>917</v>
      </c>
      <c r="AS276" s="69">
        <v>45730.0</v>
      </c>
      <c r="AT276" s="70">
        <v>45959.0</v>
      </c>
      <c r="AU276" s="69">
        <v>45730.0</v>
      </c>
      <c r="AV276" s="70">
        <v>45958.0</v>
      </c>
      <c r="AW276" s="52" t="s">
        <v>1483</v>
      </c>
      <c r="AX276" s="52" t="s">
        <v>587</v>
      </c>
      <c r="AY276" s="52">
        <v>228.0</v>
      </c>
      <c r="BB276" s="69">
        <v>45730.0</v>
      </c>
      <c r="BG276" s="52" t="s">
        <v>2041</v>
      </c>
      <c r="BH276" s="52" t="s">
        <v>1169</v>
      </c>
      <c r="BI276" s="52" t="s">
        <v>3390</v>
      </c>
    </row>
    <row r="277">
      <c r="A277" s="52">
        <v>244.0</v>
      </c>
      <c r="B277" s="52" t="s">
        <v>1160</v>
      </c>
      <c r="C277" s="52" t="s">
        <v>2005</v>
      </c>
      <c r="D277" s="52">
        <v>8.0770951E7</v>
      </c>
      <c r="E277" s="52" t="s">
        <v>1908</v>
      </c>
      <c r="F277" s="69">
        <v>45723.0</v>
      </c>
      <c r="G277" s="52" t="s">
        <v>1162</v>
      </c>
      <c r="H277" s="52" t="s">
        <v>2088</v>
      </c>
      <c r="I277" s="52" t="s">
        <v>2088</v>
      </c>
      <c r="J277" s="52" t="s">
        <v>1478</v>
      </c>
      <c r="K277" s="52" t="s">
        <v>2515</v>
      </c>
      <c r="L277" s="52" t="s">
        <v>2010</v>
      </c>
      <c r="N277" s="52" t="s">
        <v>2010</v>
      </c>
      <c r="O277" s="69">
        <v>45721.0</v>
      </c>
      <c r="P277" s="52">
        <v>2.0251000015673E13</v>
      </c>
      <c r="Q277" s="52" t="s">
        <v>2515</v>
      </c>
      <c r="R277" s="69">
        <v>45721.0</v>
      </c>
      <c r="S277" s="52" t="s">
        <v>3569</v>
      </c>
      <c r="T277" s="52" t="s">
        <v>2013</v>
      </c>
      <c r="U277" s="52" t="s">
        <v>3570</v>
      </c>
      <c r="V277" s="52" t="s">
        <v>581</v>
      </c>
      <c r="W277" s="52" t="s">
        <v>1471</v>
      </c>
      <c r="X277" s="52" t="s">
        <v>583</v>
      </c>
      <c r="Y277" s="52" t="s">
        <v>1161</v>
      </c>
      <c r="Z277" s="52" t="s">
        <v>2081</v>
      </c>
      <c r="AA277" s="52" t="s">
        <v>2016</v>
      </c>
      <c r="AB277" s="52" t="s">
        <v>2032</v>
      </c>
      <c r="AC277" s="52" t="s">
        <v>2082</v>
      </c>
      <c r="AD277" s="52" t="s">
        <v>587</v>
      </c>
      <c r="AE277" s="52" t="s">
        <v>2093</v>
      </c>
      <c r="AF277" s="69">
        <v>31102.0</v>
      </c>
      <c r="AG277" s="52">
        <v>40.0</v>
      </c>
      <c r="AH277" s="52" t="s">
        <v>1844</v>
      </c>
      <c r="AI277" s="52" t="s">
        <v>3571</v>
      </c>
      <c r="AJ277" s="52" t="s">
        <v>3572</v>
      </c>
      <c r="AK277" s="52" t="s">
        <v>2022</v>
      </c>
      <c r="AL277" s="52">
        <v>6.21E7</v>
      </c>
      <c r="AM277" s="52">
        <v>4413333.0</v>
      </c>
      <c r="AN277" s="71">
        <v>6.6513333E7</v>
      </c>
      <c r="AO277" s="52" t="s">
        <v>1483</v>
      </c>
      <c r="AP277" s="52">
        <v>27625.0</v>
      </c>
      <c r="AQ277" s="52">
        <v>29425.0</v>
      </c>
      <c r="AR277" s="52" t="s">
        <v>77</v>
      </c>
      <c r="AS277" s="69">
        <v>45724.0</v>
      </c>
      <c r="AT277" s="70">
        <v>46000.0</v>
      </c>
      <c r="AU277" s="69">
        <v>45726.0</v>
      </c>
      <c r="AV277" s="70">
        <v>46000.0</v>
      </c>
      <c r="AW277" s="52" t="s">
        <v>1483</v>
      </c>
      <c r="AX277" s="52" t="s">
        <v>587</v>
      </c>
      <c r="AY277" s="52">
        <v>274.0</v>
      </c>
      <c r="BA277" s="73" t="s">
        <v>3573</v>
      </c>
      <c r="BB277" s="69">
        <v>45726.0</v>
      </c>
      <c r="BC277" s="52" t="s">
        <v>3574</v>
      </c>
      <c r="BD277" s="52">
        <v>1.019090785E9</v>
      </c>
      <c r="BE277" s="52" t="s">
        <v>2120</v>
      </c>
      <c r="BF277" s="52" t="s">
        <v>3575</v>
      </c>
      <c r="BG277" s="52" t="s">
        <v>2041</v>
      </c>
      <c r="BH277" s="52" t="s">
        <v>1173</v>
      </c>
      <c r="BI277" s="52" t="s">
        <v>3390</v>
      </c>
    </row>
    <row r="278">
      <c r="A278" s="52">
        <v>245.0</v>
      </c>
      <c r="B278" s="52" t="s">
        <v>1164</v>
      </c>
      <c r="C278" s="52" t="s">
        <v>2307</v>
      </c>
      <c r="D278" s="52" t="s">
        <v>3576</v>
      </c>
      <c r="E278" s="52" t="s">
        <v>1908</v>
      </c>
      <c r="F278" s="69">
        <v>45747.0</v>
      </c>
      <c r="G278" s="52" t="s">
        <v>3577</v>
      </c>
      <c r="H278" s="52" t="s">
        <v>3555</v>
      </c>
      <c r="I278" s="52" t="s">
        <v>2028</v>
      </c>
      <c r="J278" s="52" t="s">
        <v>1470</v>
      </c>
      <c r="K278" s="52" t="s">
        <v>2029</v>
      </c>
      <c r="L278" s="52" t="s">
        <v>2010</v>
      </c>
      <c r="N278" s="52" t="s">
        <v>1908</v>
      </c>
      <c r="O278" s="69">
        <v>45736.0</v>
      </c>
      <c r="P278" s="52">
        <v>2.0251110019183E13</v>
      </c>
      <c r="Q278" s="52" t="s">
        <v>2029</v>
      </c>
      <c r="R278" s="69">
        <v>45736.0</v>
      </c>
      <c r="S278" s="52" t="s">
        <v>3578</v>
      </c>
      <c r="T278" s="52" t="s">
        <v>3579</v>
      </c>
      <c r="U278" s="52" t="s">
        <v>3580</v>
      </c>
      <c r="V278" s="52" t="s">
        <v>581</v>
      </c>
      <c r="W278" s="52" t="s">
        <v>1555</v>
      </c>
      <c r="X278" s="52" t="s">
        <v>583</v>
      </c>
      <c r="Y278" s="52" t="s">
        <v>1165</v>
      </c>
      <c r="AD278" s="69">
        <v>45761.0</v>
      </c>
      <c r="AG278" s="52">
        <v>126.0</v>
      </c>
      <c r="AJ278" s="52" t="s">
        <v>3581</v>
      </c>
      <c r="AK278" s="52" t="s">
        <v>2022</v>
      </c>
      <c r="AL278" s="52">
        <v>7379736.0</v>
      </c>
      <c r="AM278" s="52" t="s">
        <v>587</v>
      </c>
      <c r="AN278" s="71">
        <v>7379736.0</v>
      </c>
      <c r="AO278" s="52" t="s">
        <v>1483</v>
      </c>
      <c r="AQ278" s="52">
        <v>32325.0</v>
      </c>
      <c r="AR278" s="52" t="s">
        <v>858</v>
      </c>
      <c r="AS278" s="52" t="s">
        <v>1879</v>
      </c>
      <c r="AT278" s="52" t="s">
        <v>1879</v>
      </c>
      <c r="AU278" s="69">
        <v>45762.0</v>
      </c>
      <c r="AV278" s="70">
        <v>46022.0</v>
      </c>
      <c r="AW278" s="52" t="s">
        <v>1483</v>
      </c>
      <c r="AX278" s="69">
        <v>46203.0</v>
      </c>
      <c r="AY278" s="52">
        <v>260.0</v>
      </c>
      <c r="BB278" s="69">
        <v>45762.0</v>
      </c>
      <c r="BC278" s="52" t="s">
        <v>3582</v>
      </c>
      <c r="BD278" s="52">
        <v>5.2985556E7</v>
      </c>
      <c r="BE278" s="52" t="s">
        <v>2176</v>
      </c>
      <c r="BF278" s="52" t="s">
        <v>1344</v>
      </c>
      <c r="BG278" s="52" t="s">
        <v>2041</v>
      </c>
      <c r="BH278" s="52" t="s">
        <v>1177</v>
      </c>
      <c r="BI278" s="52" t="s">
        <v>3475</v>
      </c>
    </row>
    <row r="279">
      <c r="A279" s="52">
        <v>246.0</v>
      </c>
      <c r="B279" s="52" t="s">
        <v>1170</v>
      </c>
      <c r="C279" s="52" t="s">
        <v>2005</v>
      </c>
      <c r="D279" s="52">
        <v>1.032497761E9</v>
      </c>
      <c r="E279" s="52" t="s">
        <v>1908</v>
      </c>
      <c r="F279" s="69">
        <v>45726.0</v>
      </c>
      <c r="G279" s="52" t="s">
        <v>1172</v>
      </c>
      <c r="H279" s="52" t="s">
        <v>2088</v>
      </c>
      <c r="I279" s="52" t="s">
        <v>2088</v>
      </c>
      <c r="J279" s="52" t="s">
        <v>1478</v>
      </c>
      <c r="K279" s="52" t="s">
        <v>2515</v>
      </c>
      <c r="L279" s="52" t="s">
        <v>2010</v>
      </c>
      <c r="N279" s="52" t="s">
        <v>2010</v>
      </c>
      <c r="O279" s="69">
        <v>45722.0</v>
      </c>
      <c r="P279" s="52">
        <v>2.0251000016293E13</v>
      </c>
      <c r="Q279" s="52" t="s">
        <v>2515</v>
      </c>
      <c r="R279" s="69">
        <v>45722.0</v>
      </c>
      <c r="S279" s="52" t="s">
        <v>3583</v>
      </c>
      <c r="T279" s="52" t="s">
        <v>2013</v>
      </c>
      <c r="U279" s="52" t="s">
        <v>3584</v>
      </c>
      <c r="V279" s="52" t="s">
        <v>581</v>
      </c>
      <c r="W279" s="52" t="s">
        <v>1471</v>
      </c>
      <c r="X279" s="52" t="s">
        <v>583</v>
      </c>
      <c r="Y279" s="52" t="s">
        <v>1171</v>
      </c>
      <c r="Z279" s="52" t="s">
        <v>2081</v>
      </c>
      <c r="AA279" s="52" t="s">
        <v>2016</v>
      </c>
      <c r="AB279" s="52" t="s">
        <v>2017</v>
      </c>
      <c r="AC279" s="52" t="s">
        <v>2018</v>
      </c>
      <c r="AD279" s="52" t="s">
        <v>587</v>
      </c>
      <c r="AE279" s="52" t="s">
        <v>2093</v>
      </c>
      <c r="AF279" s="69">
        <v>35911.0</v>
      </c>
      <c r="AG279" s="52">
        <v>27.0</v>
      </c>
      <c r="AH279" s="52" t="s">
        <v>1884</v>
      </c>
      <c r="AI279" s="52" t="s">
        <v>3585</v>
      </c>
      <c r="AJ279" s="52" t="s">
        <v>3586</v>
      </c>
      <c r="AK279" s="52" t="s">
        <v>2022</v>
      </c>
      <c r="AL279" s="52">
        <v>2.56E7</v>
      </c>
      <c r="AM279" s="52" t="s">
        <v>587</v>
      </c>
      <c r="AN279" s="71">
        <v>2.56E7</v>
      </c>
      <c r="AO279" s="52" t="s">
        <v>1483</v>
      </c>
      <c r="AP279" s="52">
        <v>28025.0</v>
      </c>
      <c r="AQ279" s="52">
        <v>29725.0</v>
      </c>
      <c r="AR279" s="52" t="s">
        <v>77</v>
      </c>
      <c r="AS279" s="69">
        <v>45727.0</v>
      </c>
      <c r="AT279" s="70">
        <v>45972.0</v>
      </c>
      <c r="AU279" s="69">
        <v>45727.0</v>
      </c>
      <c r="AV279" s="70">
        <v>45971.0</v>
      </c>
      <c r="AW279" s="52" t="s">
        <v>1483</v>
      </c>
      <c r="AX279" s="52" t="s">
        <v>587</v>
      </c>
      <c r="AY279" s="52">
        <v>244.0</v>
      </c>
      <c r="BA279" s="73" t="s">
        <v>3587</v>
      </c>
      <c r="BB279" s="69">
        <v>45727.0</v>
      </c>
      <c r="BC279" s="52" t="s">
        <v>3574</v>
      </c>
      <c r="BD279" s="52">
        <v>1.019090785E9</v>
      </c>
      <c r="BE279" s="52" t="s">
        <v>2120</v>
      </c>
      <c r="BF279" s="52" t="s">
        <v>3575</v>
      </c>
      <c r="BG279" s="52" t="s">
        <v>2041</v>
      </c>
      <c r="BH279" s="52" t="s">
        <v>1181</v>
      </c>
      <c r="BI279" s="52" t="s">
        <v>3390</v>
      </c>
    </row>
    <row r="280">
      <c r="A280" s="52">
        <v>247.0</v>
      </c>
      <c r="B280" s="52" t="s">
        <v>1174</v>
      </c>
      <c r="C280" s="52" t="s">
        <v>2005</v>
      </c>
      <c r="D280" s="52">
        <v>5.5249794E7</v>
      </c>
      <c r="E280" s="52" t="s">
        <v>1908</v>
      </c>
      <c r="F280" s="69">
        <v>45726.0</v>
      </c>
      <c r="G280" s="52" t="s">
        <v>1176</v>
      </c>
      <c r="H280" s="52" t="s">
        <v>2088</v>
      </c>
      <c r="I280" s="52" t="s">
        <v>2088</v>
      </c>
      <c r="J280" s="52" t="s">
        <v>1478</v>
      </c>
      <c r="K280" s="52" t="s">
        <v>2213</v>
      </c>
      <c r="L280" s="52" t="s">
        <v>2010</v>
      </c>
      <c r="N280" s="52" t="s">
        <v>2010</v>
      </c>
      <c r="O280" s="69">
        <v>45722.0</v>
      </c>
      <c r="P280" s="52" t="s">
        <v>3588</v>
      </c>
      <c r="Q280" s="52" t="s">
        <v>2213</v>
      </c>
      <c r="R280" s="69">
        <v>45722.0</v>
      </c>
      <c r="S280" s="52" t="s">
        <v>3589</v>
      </c>
      <c r="T280" s="52" t="s">
        <v>2013</v>
      </c>
      <c r="U280" s="52" t="s">
        <v>3590</v>
      </c>
      <c r="V280" s="52" t="s">
        <v>581</v>
      </c>
      <c r="W280" s="52" t="s">
        <v>1471</v>
      </c>
      <c r="X280" s="52" t="s">
        <v>583</v>
      </c>
      <c r="Y280" s="52" t="s">
        <v>1175</v>
      </c>
      <c r="Z280" s="52" t="s">
        <v>2015</v>
      </c>
      <c r="AA280" s="52" t="s">
        <v>2016</v>
      </c>
      <c r="AB280" s="52" t="s">
        <v>2228</v>
      </c>
      <c r="AC280" s="52" t="s">
        <v>2824</v>
      </c>
      <c r="AD280" s="52" t="s">
        <v>587</v>
      </c>
      <c r="AE280" s="52" t="s">
        <v>3061</v>
      </c>
      <c r="AF280" s="69">
        <v>31180.0</v>
      </c>
      <c r="AG280" s="52">
        <v>40.0</v>
      </c>
      <c r="AH280" s="52" t="s">
        <v>1885</v>
      </c>
      <c r="AI280" s="52" t="s">
        <v>3591</v>
      </c>
      <c r="AJ280" s="52" t="s">
        <v>3592</v>
      </c>
      <c r="AK280" s="52" t="s">
        <v>2022</v>
      </c>
      <c r="AL280" s="52">
        <v>5.8E7</v>
      </c>
      <c r="AM280" s="52">
        <v>5000000.0</v>
      </c>
      <c r="AN280" s="71">
        <v>6.3E7</v>
      </c>
      <c r="AO280" s="52" t="s">
        <v>1483</v>
      </c>
      <c r="AP280" s="52">
        <v>27525.0</v>
      </c>
      <c r="AQ280" s="52">
        <v>29625.0</v>
      </c>
      <c r="AR280" s="52" t="s">
        <v>98</v>
      </c>
      <c r="AS280" s="69">
        <v>45727.0</v>
      </c>
      <c r="AT280" s="70">
        <v>46022.0</v>
      </c>
      <c r="AU280" s="69">
        <v>45727.0</v>
      </c>
      <c r="AV280" s="70">
        <v>46021.0</v>
      </c>
      <c r="AW280" s="52" t="s">
        <v>1483</v>
      </c>
      <c r="AX280" s="52" t="s">
        <v>587</v>
      </c>
      <c r="AY280" s="52">
        <v>294.0</v>
      </c>
      <c r="BA280" s="73" t="s">
        <v>3593</v>
      </c>
      <c r="BB280" s="69">
        <v>45727.0</v>
      </c>
      <c r="BC280" s="52" t="s">
        <v>3574</v>
      </c>
      <c r="BD280" s="52">
        <v>1.019090785E9</v>
      </c>
      <c r="BE280" s="52" t="s">
        <v>2120</v>
      </c>
      <c r="BF280" s="52" t="s">
        <v>3575</v>
      </c>
      <c r="BG280" s="52" t="s">
        <v>2041</v>
      </c>
      <c r="BH280" s="52" t="s">
        <v>1185</v>
      </c>
      <c r="BI280" s="52" t="s">
        <v>3390</v>
      </c>
    </row>
    <row r="281">
      <c r="A281" s="52">
        <v>248.0</v>
      </c>
      <c r="B281" s="52" t="s">
        <v>1178</v>
      </c>
      <c r="C281" s="52" t="s">
        <v>2005</v>
      </c>
      <c r="D281" s="52">
        <v>1.013658948E9</v>
      </c>
      <c r="E281" s="52" t="s">
        <v>1908</v>
      </c>
      <c r="F281" s="69">
        <v>45726.0</v>
      </c>
      <c r="G281" s="52" t="s">
        <v>1180</v>
      </c>
      <c r="H281" s="52" t="s">
        <v>2088</v>
      </c>
      <c r="I281" s="52" t="s">
        <v>2088</v>
      </c>
      <c r="J281" s="52" t="s">
        <v>1478</v>
      </c>
      <c r="K281" s="52" t="s">
        <v>2515</v>
      </c>
      <c r="L281" s="52" t="s">
        <v>2010</v>
      </c>
      <c r="N281" s="52" t="s">
        <v>2010</v>
      </c>
      <c r="O281" s="69">
        <v>45722.0</v>
      </c>
      <c r="P281" s="52">
        <v>2.0251000016253E13</v>
      </c>
      <c r="Q281" s="52" t="s">
        <v>2515</v>
      </c>
      <c r="R281" s="69">
        <v>45723.0</v>
      </c>
      <c r="S281" s="52" t="s">
        <v>3594</v>
      </c>
      <c r="T281" s="52" t="s">
        <v>2013</v>
      </c>
      <c r="V281" s="52" t="s">
        <v>581</v>
      </c>
      <c r="W281" s="52" t="s">
        <v>1471</v>
      </c>
      <c r="X281" s="52" t="s">
        <v>583</v>
      </c>
      <c r="Y281" s="52" t="s">
        <v>1179</v>
      </c>
      <c r="Z281" s="52" t="s">
        <v>2015</v>
      </c>
      <c r="AA281" s="52" t="s">
        <v>2016</v>
      </c>
      <c r="AB281" s="52" t="s">
        <v>2017</v>
      </c>
      <c r="AC281" s="52" t="s">
        <v>2018</v>
      </c>
      <c r="AD281" s="52" t="s">
        <v>587</v>
      </c>
      <c r="AE281" s="52" t="s">
        <v>2093</v>
      </c>
      <c r="AF281" s="69">
        <v>34826.0</v>
      </c>
      <c r="AG281" s="52">
        <v>30.0</v>
      </c>
      <c r="AH281" s="52" t="s">
        <v>1479</v>
      </c>
      <c r="AI281" s="52" t="s">
        <v>3595</v>
      </c>
      <c r="AJ281" s="52" t="s">
        <v>3596</v>
      </c>
      <c r="AK281" s="52" t="s">
        <v>2022</v>
      </c>
      <c r="AL281" s="52">
        <v>8.897E7</v>
      </c>
      <c r="AM281" s="52" t="s">
        <v>587</v>
      </c>
      <c r="AN281" s="71">
        <v>8.897E7</v>
      </c>
      <c r="AO281" s="52" t="s">
        <v>1483</v>
      </c>
      <c r="AP281" s="52">
        <v>28525.0</v>
      </c>
      <c r="AQ281" s="52">
        <v>29525.0</v>
      </c>
      <c r="AR281" s="52" t="s">
        <v>98</v>
      </c>
      <c r="AS281" s="69">
        <v>45727.0</v>
      </c>
      <c r="AT281" s="70">
        <v>46022.0</v>
      </c>
      <c r="AU281" s="69">
        <v>45727.0</v>
      </c>
      <c r="AV281" s="70">
        <v>46022.0</v>
      </c>
      <c r="AW281" s="52" t="s">
        <v>1483</v>
      </c>
      <c r="AX281" s="52" t="s">
        <v>587</v>
      </c>
      <c r="AY281" s="52">
        <v>295.0</v>
      </c>
      <c r="BA281" s="73" t="s">
        <v>3597</v>
      </c>
      <c r="BB281" s="69">
        <v>45727.0</v>
      </c>
      <c r="BC281" s="52" t="s">
        <v>99</v>
      </c>
      <c r="BD281" s="52">
        <v>1.019078095E9</v>
      </c>
      <c r="BE281" s="52" t="s">
        <v>3598</v>
      </c>
      <c r="BF281" s="52" t="s">
        <v>537</v>
      </c>
      <c r="BG281" s="52" t="s">
        <v>2041</v>
      </c>
      <c r="BH281" s="52" t="s">
        <v>1190</v>
      </c>
      <c r="BI281" s="52" t="s">
        <v>3390</v>
      </c>
    </row>
    <row r="282">
      <c r="A282" s="52">
        <v>249.0</v>
      </c>
      <c r="B282" s="52" t="s">
        <v>1182</v>
      </c>
      <c r="C282" s="52" t="s">
        <v>2005</v>
      </c>
      <c r="D282" s="52">
        <v>4.5546877E7</v>
      </c>
      <c r="E282" s="52" t="s">
        <v>1908</v>
      </c>
      <c r="F282" s="69">
        <v>45729.0</v>
      </c>
      <c r="G282" s="52" t="s">
        <v>1184</v>
      </c>
      <c r="H282" s="52" t="s">
        <v>2088</v>
      </c>
      <c r="I282" s="52" t="s">
        <v>2088</v>
      </c>
      <c r="J282" s="52" t="s">
        <v>1478</v>
      </c>
      <c r="K282" s="52" t="s">
        <v>2612</v>
      </c>
      <c r="L282" s="52" t="s">
        <v>2010</v>
      </c>
      <c r="N282" s="52" t="s">
        <v>2010</v>
      </c>
      <c r="O282" s="69">
        <v>45727.0</v>
      </c>
      <c r="P282" s="52">
        <v>2.0251000017643E13</v>
      </c>
      <c r="Q282" s="52" t="s">
        <v>2612</v>
      </c>
      <c r="R282" s="69">
        <v>45727.0</v>
      </c>
      <c r="S282" s="52" t="s">
        <v>3599</v>
      </c>
      <c r="T282" s="52" t="s">
        <v>2013</v>
      </c>
      <c r="U282" s="52" t="s">
        <v>3600</v>
      </c>
      <c r="V282" s="52" t="s">
        <v>581</v>
      </c>
      <c r="W282" s="52" t="s">
        <v>1471</v>
      </c>
      <c r="X282" s="52" t="s">
        <v>583</v>
      </c>
      <c r="Y282" s="52" t="s">
        <v>1183</v>
      </c>
      <c r="Z282" s="52" t="s">
        <v>2015</v>
      </c>
      <c r="AA282" s="52" t="s">
        <v>2054</v>
      </c>
      <c r="AB282" s="52" t="s">
        <v>2062</v>
      </c>
      <c r="AC282" s="52" t="s">
        <v>2018</v>
      </c>
      <c r="AD282" s="52" t="s">
        <v>587</v>
      </c>
      <c r="AE282" s="52" t="s">
        <v>3077</v>
      </c>
      <c r="AF282" s="69">
        <v>30412.0</v>
      </c>
      <c r="AG282" s="52">
        <v>42.0</v>
      </c>
      <c r="AH282" s="52" t="s">
        <v>1886</v>
      </c>
      <c r="AI282" s="52" t="s">
        <v>3601</v>
      </c>
      <c r="AJ282" s="52" t="s">
        <v>3602</v>
      </c>
      <c r="AK282" s="52" t="s">
        <v>2022</v>
      </c>
      <c r="AL282" s="52">
        <v>7.5E7</v>
      </c>
      <c r="AM282" s="52">
        <v>2571800.0</v>
      </c>
      <c r="AN282" s="71">
        <v>7.75718E7</v>
      </c>
      <c r="AO282" s="52" t="s">
        <v>1483</v>
      </c>
      <c r="AP282" s="52">
        <v>28625.0</v>
      </c>
      <c r="AQ282" s="52">
        <v>30225.0</v>
      </c>
      <c r="AR282" s="52" t="s">
        <v>98</v>
      </c>
      <c r="AS282" s="69">
        <v>45730.0</v>
      </c>
      <c r="AT282" s="70">
        <v>46022.0</v>
      </c>
      <c r="AU282" s="69">
        <v>45730.0</v>
      </c>
      <c r="AV282" s="70">
        <v>46022.0</v>
      </c>
      <c r="AW282" s="52" t="s">
        <v>1483</v>
      </c>
      <c r="AX282" s="52" t="s">
        <v>587</v>
      </c>
      <c r="AY282" s="52">
        <v>292.0</v>
      </c>
      <c r="BA282" s="73" t="s">
        <v>3603</v>
      </c>
      <c r="BB282" s="69">
        <v>45730.0</v>
      </c>
      <c r="BC282" s="52" t="s">
        <v>3574</v>
      </c>
      <c r="BD282" s="52">
        <v>1.019090785E9</v>
      </c>
      <c r="BE282" s="52" t="s">
        <v>2120</v>
      </c>
      <c r="BF282" s="52" t="s">
        <v>3575</v>
      </c>
      <c r="BG282" s="52" t="s">
        <v>2041</v>
      </c>
      <c r="BH282" s="52" t="s">
        <v>1197</v>
      </c>
      <c r="BI282" s="52" t="s">
        <v>3390</v>
      </c>
    </row>
    <row r="283">
      <c r="A283" s="52">
        <v>250.0</v>
      </c>
      <c r="B283" s="52" t="s">
        <v>1186</v>
      </c>
      <c r="C283" s="52" t="s">
        <v>2307</v>
      </c>
      <c r="D283" s="52" t="s">
        <v>1189</v>
      </c>
      <c r="E283" s="52" t="s">
        <v>3604</v>
      </c>
      <c r="F283" s="69">
        <v>45737.0</v>
      </c>
      <c r="G283" s="52" t="s">
        <v>3605</v>
      </c>
      <c r="H283" s="52" t="s">
        <v>2028</v>
      </c>
      <c r="I283" s="52" t="s">
        <v>2028</v>
      </c>
      <c r="J283" s="52" t="s">
        <v>1478</v>
      </c>
      <c r="K283" s="52" t="s">
        <v>2029</v>
      </c>
      <c r="L283" s="52" t="s">
        <v>2010</v>
      </c>
      <c r="N283" s="52" t="s">
        <v>1908</v>
      </c>
      <c r="O283" s="69">
        <v>45736.0</v>
      </c>
      <c r="P283" s="52">
        <v>2.0251130019193E13</v>
      </c>
      <c r="Q283" s="52" t="s">
        <v>2029</v>
      </c>
      <c r="R283" s="69">
        <v>45736.0</v>
      </c>
      <c r="S283" s="52" t="s">
        <v>3606</v>
      </c>
      <c r="T283" s="52" t="s">
        <v>2013</v>
      </c>
      <c r="U283" s="52" t="s">
        <v>3607</v>
      </c>
      <c r="V283" s="52" t="s">
        <v>581</v>
      </c>
      <c r="W283" s="52" t="s">
        <v>1555</v>
      </c>
      <c r="X283" s="52" t="s">
        <v>583</v>
      </c>
      <c r="Y283" s="52" t="s">
        <v>1187</v>
      </c>
      <c r="AA283" s="52" t="s">
        <v>39</v>
      </c>
      <c r="AB283" s="52" t="s">
        <v>39</v>
      </c>
      <c r="AC283" s="52" t="s">
        <v>39</v>
      </c>
      <c r="AD283" s="52" t="s">
        <v>587</v>
      </c>
      <c r="AE283" s="52" t="s">
        <v>39</v>
      </c>
      <c r="AF283" s="52" t="s">
        <v>39</v>
      </c>
      <c r="AG283" s="52" t="s">
        <v>2310</v>
      </c>
      <c r="AH283" s="52" t="s">
        <v>39</v>
      </c>
      <c r="AI283" s="52" t="s">
        <v>3608</v>
      </c>
      <c r="AJ283" s="52" t="s">
        <v>3609</v>
      </c>
      <c r="AK283" s="52" t="s">
        <v>3610</v>
      </c>
      <c r="AL283" s="52">
        <v>2.48231819E8</v>
      </c>
      <c r="AM283" s="52" t="s">
        <v>587</v>
      </c>
      <c r="AN283" s="71">
        <v>2.48231819E8</v>
      </c>
      <c r="AO283" s="52" t="s">
        <v>1483</v>
      </c>
      <c r="AP283" s="52">
        <v>27425.0</v>
      </c>
      <c r="AQ283" s="52">
        <v>31025.0</v>
      </c>
      <c r="AR283" s="52" t="s">
        <v>1402</v>
      </c>
      <c r="AS283" s="52" t="s">
        <v>1879</v>
      </c>
      <c r="AT283" s="52" t="s">
        <v>1879</v>
      </c>
      <c r="AU283" s="69">
        <v>45743.0</v>
      </c>
      <c r="AV283" s="70">
        <v>46017.0</v>
      </c>
      <c r="AW283" s="52" t="s">
        <v>1483</v>
      </c>
      <c r="AX283" s="69">
        <v>46199.0</v>
      </c>
      <c r="AY283" s="52">
        <v>274.0</v>
      </c>
      <c r="BA283" s="73" t="s">
        <v>3611</v>
      </c>
      <c r="BB283" s="69">
        <v>45804.0</v>
      </c>
      <c r="BC283" s="52" t="s">
        <v>3612</v>
      </c>
      <c r="BD283" s="52">
        <v>1.022331975E9</v>
      </c>
      <c r="BE283" s="52" t="s">
        <v>3613</v>
      </c>
      <c r="BF283" s="52" t="s">
        <v>1168</v>
      </c>
      <c r="BG283" s="52" t="s">
        <v>2041</v>
      </c>
      <c r="BH283" s="52" t="s">
        <v>1203</v>
      </c>
      <c r="BI283" s="52" t="s">
        <v>3390</v>
      </c>
    </row>
    <row r="284">
      <c r="A284" s="52">
        <v>251.0</v>
      </c>
      <c r="B284" s="52" t="s">
        <v>3614</v>
      </c>
      <c r="C284" s="52" t="s">
        <v>2323</v>
      </c>
      <c r="D284" s="52" t="s">
        <v>1195</v>
      </c>
      <c r="E284" s="52" t="s">
        <v>3604</v>
      </c>
      <c r="F284" s="69">
        <v>45736.0</v>
      </c>
      <c r="G284" s="52" t="s">
        <v>1194</v>
      </c>
      <c r="H284" s="52" t="s">
        <v>2121</v>
      </c>
      <c r="I284" s="52" t="s">
        <v>2121</v>
      </c>
      <c r="J284" s="52" t="s">
        <v>1478</v>
      </c>
      <c r="K284" s="52" t="s">
        <v>2213</v>
      </c>
      <c r="L284" s="52" t="s">
        <v>2010</v>
      </c>
      <c r="N284" s="52" t="s">
        <v>1908</v>
      </c>
      <c r="O284" s="69">
        <v>45735.0</v>
      </c>
      <c r="P284" s="52">
        <v>2.0251400018763E13</v>
      </c>
      <c r="Q284" s="52" t="s">
        <v>2213</v>
      </c>
      <c r="R284" s="69">
        <v>6693148.0</v>
      </c>
      <c r="S284" s="52" t="s">
        <v>3615</v>
      </c>
      <c r="T284" s="52" t="s">
        <v>2013</v>
      </c>
      <c r="U284" s="52" t="s">
        <v>3616</v>
      </c>
      <c r="V284" s="52" t="s">
        <v>581</v>
      </c>
      <c r="W284" s="52" t="s">
        <v>1889</v>
      </c>
      <c r="X284" s="52" t="s">
        <v>1191</v>
      </c>
      <c r="Y284" s="52" t="s">
        <v>1193</v>
      </c>
      <c r="AA284" s="52" t="s">
        <v>39</v>
      </c>
      <c r="AB284" s="52" t="s">
        <v>39</v>
      </c>
      <c r="AC284" s="52" t="s">
        <v>39</v>
      </c>
      <c r="AD284" s="52" t="s">
        <v>587</v>
      </c>
      <c r="AE284" s="52" t="s">
        <v>39</v>
      </c>
      <c r="AF284" s="52" t="s">
        <v>39</v>
      </c>
      <c r="AG284" s="52" t="s">
        <v>2310</v>
      </c>
      <c r="AH284" s="52" t="s">
        <v>39</v>
      </c>
      <c r="AI284" s="52" t="s">
        <v>3617</v>
      </c>
      <c r="AJ284" s="52" t="s">
        <v>3618</v>
      </c>
      <c r="AK284" s="52" t="s">
        <v>2022</v>
      </c>
      <c r="AL284" s="52">
        <v>2.2E8</v>
      </c>
      <c r="AM284" s="52" t="s">
        <v>587</v>
      </c>
      <c r="AN284" s="71">
        <v>2.2E8</v>
      </c>
      <c r="AO284" s="52" t="s">
        <v>1483</v>
      </c>
      <c r="AP284" s="52">
        <v>30225.0</v>
      </c>
      <c r="AQ284" s="52">
        <v>31325.0</v>
      </c>
      <c r="AR284" s="52" t="s">
        <v>1108</v>
      </c>
      <c r="AS284" s="52" t="s">
        <v>1879</v>
      </c>
      <c r="AT284" s="52" t="s">
        <v>1879</v>
      </c>
      <c r="AU284" s="69">
        <v>45750.0</v>
      </c>
      <c r="AV284" s="69">
        <v>46114.0</v>
      </c>
      <c r="AW284" s="52" t="s">
        <v>1483</v>
      </c>
      <c r="AX284" s="52" t="s">
        <v>587</v>
      </c>
      <c r="AY284" s="52">
        <v>364.0</v>
      </c>
      <c r="BA284" s="73" t="s">
        <v>3619</v>
      </c>
      <c r="BB284" s="69">
        <v>45742.0</v>
      </c>
      <c r="BC284" s="52" t="s">
        <v>1291</v>
      </c>
      <c r="BD284" s="52">
        <v>5.2424455E7</v>
      </c>
      <c r="BE284" s="52" t="s">
        <v>3620</v>
      </c>
      <c r="BF284" s="52" t="s">
        <v>667</v>
      </c>
      <c r="BG284" s="52" t="s">
        <v>2041</v>
      </c>
      <c r="BH284" s="52" t="s">
        <v>1208</v>
      </c>
      <c r="BI284" s="52" t="s">
        <v>3475</v>
      </c>
    </row>
    <row r="285">
      <c r="A285" s="52">
        <v>252.0</v>
      </c>
      <c r="B285" s="52" t="s">
        <v>1198</v>
      </c>
      <c r="C285" s="52" t="s">
        <v>2005</v>
      </c>
      <c r="D285" s="52">
        <v>1.102363429E9</v>
      </c>
      <c r="E285" s="52" t="s">
        <v>1908</v>
      </c>
      <c r="F285" s="69">
        <v>45733.0</v>
      </c>
      <c r="G285" s="52" t="s">
        <v>1200</v>
      </c>
      <c r="H285" s="52" t="s">
        <v>2088</v>
      </c>
      <c r="I285" s="52" t="s">
        <v>2088</v>
      </c>
      <c r="J285" s="52" t="s">
        <v>1478</v>
      </c>
      <c r="K285" s="52" t="s">
        <v>2612</v>
      </c>
      <c r="L285" s="52" t="s">
        <v>2010</v>
      </c>
      <c r="N285" s="52" t="s">
        <v>2010</v>
      </c>
      <c r="O285" s="69">
        <v>45729.0</v>
      </c>
      <c r="P285" s="52">
        <v>2.0251000018013E13</v>
      </c>
      <c r="Q285" s="52" t="s">
        <v>2612</v>
      </c>
      <c r="R285" s="69">
        <v>45729.0</v>
      </c>
      <c r="S285" s="52" t="s">
        <v>3621</v>
      </c>
      <c r="T285" s="52" t="s">
        <v>2013</v>
      </c>
      <c r="U285" s="52" t="s">
        <v>3622</v>
      </c>
      <c r="V285" s="52" t="s">
        <v>581</v>
      </c>
      <c r="W285" s="52" t="s">
        <v>1471</v>
      </c>
      <c r="X285" s="52" t="s">
        <v>583</v>
      </c>
      <c r="Y285" s="52" t="s">
        <v>1199</v>
      </c>
      <c r="Z285" s="52" t="s">
        <v>2015</v>
      </c>
      <c r="AA285" s="52" t="s">
        <v>2016</v>
      </c>
      <c r="AB285" s="52" t="s">
        <v>2032</v>
      </c>
      <c r="AC285" s="52" t="s">
        <v>2114</v>
      </c>
      <c r="AD285" s="52" t="s">
        <v>587</v>
      </c>
      <c r="AE285" s="52" t="s">
        <v>3623</v>
      </c>
      <c r="AF285" s="69">
        <v>32976.0</v>
      </c>
      <c r="AG285" s="52">
        <v>35.0</v>
      </c>
      <c r="AH285" s="52" t="s">
        <v>1891</v>
      </c>
      <c r="AI285" s="52" t="s">
        <v>3624</v>
      </c>
      <c r="AJ285" s="52" t="s">
        <v>3625</v>
      </c>
      <c r="AK285" s="52" t="s">
        <v>2022</v>
      </c>
      <c r="AL285" s="52">
        <v>7.885E7</v>
      </c>
      <c r="AM285" s="52">
        <v>5000000.0</v>
      </c>
      <c r="AN285" s="71">
        <v>8.385E7</v>
      </c>
      <c r="AO285" s="52" t="s">
        <v>1483</v>
      </c>
      <c r="AP285" s="52">
        <v>29225.0</v>
      </c>
      <c r="AQ285" s="52">
        <v>30425.0</v>
      </c>
      <c r="AR285" s="52" t="s">
        <v>77</v>
      </c>
      <c r="AS285" s="69">
        <v>45734.0</v>
      </c>
      <c r="AT285" s="70">
        <v>46022.0</v>
      </c>
      <c r="AU285" s="69">
        <v>45734.0</v>
      </c>
      <c r="AV285" s="70">
        <v>46022.0</v>
      </c>
      <c r="AW285" s="52" t="s">
        <v>1483</v>
      </c>
      <c r="AX285" s="52" t="s">
        <v>587</v>
      </c>
      <c r="AY285" s="52">
        <v>288.0</v>
      </c>
      <c r="BA285" s="73" t="s">
        <v>3626</v>
      </c>
      <c r="BB285" s="69">
        <v>45735.0</v>
      </c>
      <c r="BC285" s="52" t="s">
        <v>2663</v>
      </c>
      <c r="BD285" s="52">
        <v>1.019090785E9</v>
      </c>
      <c r="BE285" s="52" t="s">
        <v>2120</v>
      </c>
      <c r="BF285" s="52" t="s">
        <v>537</v>
      </c>
      <c r="BG285" s="52" t="s">
        <v>2041</v>
      </c>
      <c r="BH285" s="52" t="s">
        <v>1212</v>
      </c>
      <c r="BI285" s="52" t="s">
        <v>3390</v>
      </c>
    </row>
    <row r="286">
      <c r="A286" s="52">
        <v>253.0</v>
      </c>
      <c r="B286" s="52" t="s">
        <v>1204</v>
      </c>
      <c r="C286" s="52" t="s">
        <v>2307</v>
      </c>
      <c r="E286" s="52" t="s">
        <v>3604</v>
      </c>
      <c r="F286" s="69">
        <v>45743.0</v>
      </c>
      <c r="G286" s="52" t="s">
        <v>3627</v>
      </c>
      <c r="H286" s="52" t="s">
        <v>2028</v>
      </c>
      <c r="I286" s="52" t="s">
        <v>2028</v>
      </c>
      <c r="J286" s="52" t="s">
        <v>1470</v>
      </c>
      <c r="K286" s="52" t="s">
        <v>2029</v>
      </c>
      <c r="L286" s="52" t="s">
        <v>2010</v>
      </c>
      <c r="N286" s="52" t="s">
        <v>2010</v>
      </c>
      <c r="O286" s="69">
        <v>45730.0</v>
      </c>
      <c r="P286" s="52">
        <v>2.0251130018373E13</v>
      </c>
      <c r="Q286" s="52" t="s">
        <v>2029</v>
      </c>
      <c r="R286" s="69">
        <v>45730.0</v>
      </c>
      <c r="S286" s="52" t="s">
        <v>3628</v>
      </c>
      <c r="T286" s="52" t="s">
        <v>2013</v>
      </c>
      <c r="U286" s="52" t="s">
        <v>3629</v>
      </c>
      <c r="V286" s="52" t="s">
        <v>581</v>
      </c>
      <c r="W286" s="52" t="s">
        <v>1555</v>
      </c>
      <c r="X286" s="52" t="s">
        <v>583</v>
      </c>
      <c r="Y286" s="52" t="s">
        <v>1205</v>
      </c>
      <c r="AA286" s="52" t="s">
        <v>39</v>
      </c>
      <c r="AB286" s="52" t="s">
        <v>39</v>
      </c>
      <c r="AC286" s="52" t="s">
        <v>39</v>
      </c>
      <c r="AD286" s="52" t="s">
        <v>587</v>
      </c>
      <c r="AE286" s="52" t="s">
        <v>39</v>
      </c>
      <c r="AF286" s="52" t="s">
        <v>39</v>
      </c>
      <c r="AG286" s="52" t="s">
        <v>2310</v>
      </c>
      <c r="AH286" s="52" t="s">
        <v>39</v>
      </c>
      <c r="AI286" s="52" t="s">
        <v>3630</v>
      </c>
      <c r="AJ286" s="52" t="s">
        <v>3631</v>
      </c>
      <c r="AK286" s="52" t="s">
        <v>3610</v>
      </c>
      <c r="AL286" s="52">
        <v>2.63E8</v>
      </c>
      <c r="AM286" s="52" t="s">
        <v>587</v>
      </c>
      <c r="AN286" s="71">
        <v>2.63E8</v>
      </c>
      <c r="AO286" s="52" t="s">
        <v>1483</v>
      </c>
      <c r="AP286" s="52">
        <v>30525.0</v>
      </c>
      <c r="AQ286" s="52">
        <v>31925.0</v>
      </c>
      <c r="AR286" s="52" t="s">
        <v>1894</v>
      </c>
      <c r="AS286" s="52" t="s">
        <v>1879</v>
      </c>
      <c r="AT286" s="52" t="s">
        <v>1879</v>
      </c>
      <c r="AU286" s="69">
        <v>45751.0</v>
      </c>
      <c r="AV286" s="70">
        <v>46014.0</v>
      </c>
      <c r="AW286" s="52" t="s">
        <v>1483</v>
      </c>
      <c r="AX286" s="69">
        <v>46197.0</v>
      </c>
      <c r="AY286" s="52">
        <v>263.0</v>
      </c>
      <c r="BA286" s="73" t="s">
        <v>3632</v>
      </c>
      <c r="BB286" s="69">
        <v>45751.0</v>
      </c>
      <c r="BC286" s="52" t="s">
        <v>274</v>
      </c>
      <c r="BD286" s="52">
        <v>5.2328908E7</v>
      </c>
      <c r="BE286" s="52" t="s">
        <v>2321</v>
      </c>
      <c r="BF286" s="52" t="s">
        <v>1168</v>
      </c>
      <c r="BG286" s="52" t="s">
        <v>2041</v>
      </c>
      <c r="BH286" s="52" t="s">
        <v>1216</v>
      </c>
      <c r="BI286" s="52" t="s">
        <v>3475</v>
      </c>
    </row>
    <row r="287">
      <c r="A287" s="52">
        <v>254.0</v>
      </c>
      <c r="B287" s="52" t="s">
        <v>1209</v>
      </c>
      <c r="C287" s="52" t="s">
        <v>2307</v>
      </c>
      <c r="D287" s="52" t="s">
        <v>3633</v>
      </c>
      <c r="E287" s="52" t="s">
        <v>3549</v>
      </c>
      <c r="F287" s="69">
        <v>45742.0</v>
      </c>
      <c r="G287" s="52" t="s">
        <v>1211</v>
      </c>
      <c r="H287" s="52" t="s">
        <v>2299</v>
      </c>
      <c r="I287" s="52" t="s">
        <v>2299</v>
      </c>
      <c r="J287" s="52" t="s">
        <v>1478</v>
      </c>
      <c r="K287" s="52" t="s">
        <v>2069</v>
      </c>
      <c r="L287" s="52" t="s">
        <v>2010</v>
      </c>
      <c r="N287" s="52" t="s">
        <v>1908</v>
      </c>
      <c r="O287" s="69">
        <v>45729.0</v>
      </c>
      <c r="P287" s="52">
        <v>2.0251300018003E13</v>
      </c>
      <c r="Q287" s="52" t="s">
        <v>2069</v>
      </c>
      <c r="R287" s="69">
        <v>45729.0</v>
      </c>
      <c r="S287" s="52" t="s">
        <v>3634</v>
      </c>
      <c r="T287" s="52" t="s">
        <v>2013</v>
      </c>
      <c r="U287" s="52" t="s">
        <v>3635</v>
      </c>
      <c r="V287" s="52" t="s">
        <v>581</v>
      </c>
      <c r="W287" s="52" t="s">
        <v>1555</v>
      </c>
      <c r="X287" s="52" t="s">
        <v>81</v>
      </c>
      <c r="Y287" s="52" t="s">
        <v>1210</v>
      </c>
      <c r="AA287" s="52" t="s">
        <v>39</v>
      </c>
      <c r="AB287" s="52" t="s">
        <v>39</v>
      </c>
      <c r="AC287" s="52" t="s">
        <v>39</v>
      </c>
      <c r="AD287" s="52" t="s">
        <v>587</v>
      </c>
      <c r="AE287" s="52" t="s">
        <v>39</v>
      </c>
      <c r="AF287" s="52" t="s">
        <v>39</v>
      </c>
      <c r="AG287" s="52" t="s">
        <v>2310</v>
      </c>
      <c r="AH287" s="52" t="s">
        <v>39</v>
      </c>
      <c r="AI287" s="52" t="s">
        <v>3636</v>
      </c>
      <c r="AJ287" s="52" t="s">
        <v>3637</v>
      </c>
      <c r="AK287" s="52" t="s">
        <v>2022</v>
      </c>
      <c r="AL287" s="52">
        <v>1.99614472E8</v>
      </c>
      <c r="AM287" s="52" t="s">
        <v>587</v>
      </c>
      <c r="AN287" s="71">
        <v>1.99614472E8</v>
      </c>
      <c r="AO287" s="52" t="s">
        <v>1483</v>
      </c>
      <c r="AP287" s="52">
        <v>26925.0</v>
      </c>
      <c r="AQ287" s="52">
        <v>31625.0</v>
      </c>
      <c r="AR287" s="52" t="s">
        <v>1895</v>
      </c>
      <c r="AS287" s="52" t="s">
        <v>1879</v>
      </c>
      <c r="AT287" s="52" t="s">
        <v>1879</v>
      </c>
      <c r="AU287" s="69">
        <v>45744.0</v>
      </c>
      <c r="AV287" s="69">
        <v>46139.0</v>
      </c>
      <c r="AW287" s="52" t="s">
        <v>1483</v>
      </c>
      <c r="AX287" s="52" t="s">
        <v>587</v>
      </c>
      <c r="AY287" s="52">
        <v>395.0</v>
      </c>
      <c r="BA287" s="73" t="s">
        <v>3632</v>
      </c>
      <c r="BB287" s="69">
        <v>45743.0</v>
      </c>
      <c r="BC287" s="52" t="s">
        <v>337</v>
      </c>
      <c r="BD287" s="52">
        <v>7.9790236E7</v>
      </c>
      <c r="BE287" s="52" t="s">
        <v>2406</v>
      </c>
      <c r="BF287" s="52" t="s">
        <v>1487</v>
      </c>
      <c r="BG287" s="52" t="s">
        <v>2041</v>
      </c>
      <c r="BH287" s="52" t="s">
        <v>1220</v>
      </c>
      <c r="BI287" s="52" t="s">
        <v>3390</v>
      </c>
    </row>
    <row r="288">
      <c r="A288" s="52">
        <v>255.0</v>
      </c>
      <c r="B288" s="52" t="s">
        <v>1213</v>
      </c>
      <c r="C288" s="52" t="s">
        <v>2005</v>
      </c>
      <c r="E288" s="52" t="s">
        <v>1908</v>
      </c>
      <c r="F288" s="69">
        <v>45743.0</v>
      </c>
      <c r="G288" s="52" t="s">
        <v>1215</v>
      </c>
      <c r="H288" s="52" t="s">
        <v>1896</v>
      </c>
      <c r="I288" s="52" t="s">
        <v>1896</v>
      </c>
      <c r="J288" s="52" t="s">
        <v>1478</v>
      </c>
      <c r="K288" s="52" t="s">
        <v>2515</v>
      </c>
      <c r="L288" s="52" t="s">
        <v>2010</v>
      </c>
      <c r="N288" s="52" t="s">
        <v>2010</v>
      </c>
      <c r="O288" s="69">
        <v>45736.0</v>
      </c>
      <c r="P288" s="52">
        <v>2.0251000019213E13</v>
      </c>
      <c r="Q288" s="52" t="s">
        <v>2515</v>
      </c>
      <c r="R288" s="69">
        <v>45736.0</v>
      </c>
      <c r="S288" s="52" t="s">
        <v>3638</v>
      </c>
      <c r="T288" s="52" t="s">
        <v>2013</v>
      </c>
      <c r="U288" s="52" t="s">
        <v>3639</v>
      </c>
      <c r="V288" s="52" t="s">
        <v>581</v>
      </c>
      <c r="W288" s="52" t="s">
        <v>1471</v>
      </c>
      <c r="X288" s="52" t="s">
        <v>583</v>
      </c>
      <c r="Y288" s="52" t="s">
        <v>1214</v>
      </c>
      <c r="Z288" s="52" t="s">
        <v>2081</v>
      </c>
      <c r="AA288" s="52" t="s">
        <v>2016</v>
      </c>
      <c r="AB288" s="52" t="s">
        <v>2032</v>
      </c>
      <c r="AC288" s="52" t="s">
        <v>2054</v>
      </c>
      <c r="AD288" s="52" t="s">
        <v>587</v>
      </c>
      <c r="AE288" s="52" t="s">
        <v>3640</v>
      </c>
      <c r="AF288" s="69">
        <v>33058.0</v>
      </c>
      <c r="AG288" s="52">
        <v>35.0</v>
      </c>
      <c r="AH288" s="52" t="s">
        <v>1897</v>
      </c>
      <c r="AI288" s="52" t="s">
        <v>2903</v>
      </c>
      <c r="AJ288" s="52" t="s">
        <v>3641</v>
      </c>
      <c r="AK288" s="52" t="s">
        <v>2022</v>
      </c>
      <c r="AL288" s="52" t="s">
        <v>1898</v>
      </c>
      <c r="AM288" s="52" t="s">
        <v>1899</v>
      </c>
      <c r="AN288" s="52" t="s">
        <v>1900</v>
      </c>
      <c r="AO288" s="52" t="s">
        <v>1483</v>
      </c>
      <c r="AP288" s="52">
        <v>29725.0</v>
      </c>
      <c r="AQ288" s="52">
        <v>32125.0</v>
      </c>
      <c r="AR288" s="52" t="s">
        <v>98</v>
      </c>
      <c r="AS288" s="69">
        <v>45748.0</v>
      </c>
      <c r="AT288" s="69">
        <v>45903.0</v>
      </c>
      <c r="AU288" s="69">
        <v>45748.0</v>
      </c>
      <c r="AV288" s="69">
        <v>45899.0</v>
      </c>
      <c r="AW288" s="52" t="s">
        <v>1483</v>
      </c>
      <c r="AX288" s="52" t="s">
        <v>587</v>
      </c>
      <c r="AY288" s="52">
        <v>151.0</v>
      </c>
      <c r="BA288" s="73" t="s">
        <v>2905</v>
      </c>
      <c r="BB288" s="69">
        <v>45808.0</v>
      </c>
      <c r="BC288" s="52" t="s">
        <v>3642</v>
      </c>
      <c r="BD288" s="52">
        <v>1.06974766E9</v>
      </c>
      <c r="BE288" s="52" t="s">
        <v>3643</v>
      </c>
      <c r="BF288" s="52" t="s">
        <v>537</v>
      </c>
      <c r="BG288" s="52" t="s">
        <v>2041</v>
      </c>
      <c r="BH288" s="52" t="s">
        <v>1226</v>
      </c>
      <c r="BI288" s="52" t="s">
        <v>3475</v>
      </c>
    </row>
    <row r="289">
      <c r="A289" s="52">
        <v>256.0</v>
      </c>
      <c r="B289" s="52" t="s">
        <v>1217</v>
      </c>
      <c r="C289" s="52" t="s">
        <v>2005</v>
      </c>
      <c r="E289" s="52" t="s">
        <v>1908</v>
      </c>
      <c r="F289" s="69">
        <v>45744.0</v>
      </c>
      <c r="G289" s="52" t="s">
        <v>1219</v>
      </c>
      <c r="H289" s="52" t="s">
        <v>1901</v>
      </c>
      <c r="I289" s="52" t="s">
        <v>1901</v>
      </c>
      <c r="J289" s="52" t="s">
        <v>1478</v>
      </c>
      <c r="K289" s="52" t="s">
        <v>2059</v>
      </c>
      <c r="L289" s="52" t="s">
        <v>2010</v>
      </c>
      <c r="N289" s="52" t="s">
        <v>2010</v>
      </c>
      <c r="O289" s="69">
        <v>45741.0</v>
      </c>
      <c r="P289" s="52">
        <v>2.0251900019693E13</v>
      </c>
      <c r="Q289" s="52" t="s">
        <v>2059</v>
      </c>
      <c r="R289" s="69">
        <v>45741.0</v>
      </c>
      <c r="S289" s="52" t="s">
        <v>3644</v>
      </c>
      <c r="T289" s="52" t="s">
        <v>2013</v>
      </c>
      <c r="U289" s="52" t="s">
        <v>3645</v>
      </c>
      <c r="V289" s="52" t="s">
        <v>581</v>
      </c>
      <c r="W289" s="52" t="s">
        <v>1471</v>
      </c>
      <c r="X289" s="52" t="s">
        <v>583</v>
      </c>
      <c r="Y289" s="52" t="s">
        <v>1218</v>
      </c>
      <c r="Z289" s="52" t="s">
        <v>2081</v>
      </c>
      <c r="AA289" s="52" t="s">
        <v>2054</v>
      </c>
      <c r="AB289" s="52" t="s">
        <v>2062</v>
      </c>
      <c r="AC289" s="52" t="s">
        <v>2824</v>
      </c>
      <c r="AD289" s="52" t="s">
        <v>587</v>
      </c>
      <c r="AE289" s="52" t="s">
        <v>2093</v>
      </c>
      <c r="AF289" s="69">
        <v>33405.0</v>
      </c>
      <c r="AG289" s="52">
        <v>34.0</v>
      </c>
      <c r="AH289" s="52" t="s">
        <v>1541</v>
      </c>
      <c r="AI289" s="52" t="s">
        <v>3646</v>
      </c>
      <c r="AJ289" s="52" t="s">
        <v>3647</v>
      </c>
      <c r="AK289" s="52" t="s">
        <v>3610</v>
      </c>
      <c r="AL289" s="52">
        <v>3.0116625E7</v>
      </c>
      <c r="AM289" s="52" t="s">
        <v>587</v>
      </c>
      <c r="AN289" s="71">
        <v>3.0116625E7</v>
      </c>
      <c r="AO289" s="52" t="s">
        <v>1483</v>
      </c>
      <c r="AP289" s="52">
        <v>30925.0</v>
      </c>
      <c r="AQ289" s="52">
        <v>32225.0</v>
      </c>
      <c r="AR289" s="52" t="s">
        <v>1902</v>
      </c>
      <c r="AS289" s="69">
        <v>45748.0</v>
      </c>
      <c r="AT289" s="70">
        <v>46022.0</v>
      </c>
      <c r="AU289" s="69">
        <v>45748.0</v>
      </c>
      <c r="AV289" s="70">
        <v>46022.0</v>
      </c>
      <c r="AW289" s="52" t="s">
        <v>1483</v>
      </c>
      <c r="AX289" s="52" t="s">
        <v>587</v>
      </c>
      <c r="AY289" s="52">
        <v>274.0</v>
      </c>
      <c r="BA289" s="73" t="s">
        <v>3648</v>
      </c>
      <c r="BB289" s="69">
        <v>45747.0</v>
      </c>
      <c r="BC289" s="52" t="s">
        <v>3649</v>
      </c>
      <c r="BD289" s="52">
        <v>1.023954626E9</v>
      </c>
      <c r="BE289" s="52" t="s">
        <v>3650</v>
      </c>
      <c r="BF289" s="52" t="s">
        <v>128</v>
      </c>
      <c r="BG289" s="52" t="s">
        <v>2041</v>
      </c>
      <c r="BH289" s="52" t="s">
        <v>1233</v>
      </c>
      <c r="BI289" s="52" t="s">
        <v>3475</v>
      </c>
    </row>
    <row r="290">
      <c r="A290" s="52">
        <v>257.0</v>
      </c>
      <c r="B290" s="52" t="s">
        <v>1221</v>
      </c>
      <c r="C290" s="52" t="s">
        <v>2307</v>
      </c>
      <c r="E290" s="52" t="s">
        <v>3604</v>
      </c>
      <c r="F290" s="69">
        <v>45743.0</v>
      </c>
      <c r="G290" s="52" t="s">
        <v>1223</v>
      </c>
      <c r="H290" s="52" t="s">
        <v>134</v>
      </c>
      <c r="I290" s="52" t="s">
        <v>134</v>
      </c>
      <c r="J290" s="52" t="s">
        <v>1478</v>
      </c>
      <c r="K290" s="52" t="s">
        <v>2069</v>
      </c>
      <c r="L290" s="52" t="s">
        <v>2010</v>
      </c>
      <c r="N290" s="52" t="s">
        <v>1908</v>
      </c>
      <c r="O290" s="69">
        <v>45736.0</v>
      </c>
      <c r="P290" s="52">
        <v>2.0251300019253E13</v>
      </c>
      <c r="Q290" s="52" t="s">
        <v>2069</v>
      </c>
      <c r="R290" s="69">
        <v>45736.0</v>
      </c>
      <c r="S290" s="52" t="s">
        <v>3651</v>
      </c>
      <c r="T290" s="52" t="s">
        <v>2013</v>
      </c>
      <c r="U290" s="52" t="s">
        <v>3652</v>
      </c>
      <c r="V290" s="52" t="s">
        <v>581</v>
      </c>
      <c r="W290" s="52" t="s">
        <v>1555</v>
      </c>
      <c r="X290" s="52" t="s">
        <v>583</v>
      </c>
      <c r="Y290" s="52" t="s">
        <v>1222</v>
      </c>
      <c r="AA290" s="52" t="s">
        <v>39</v>
      </c>
      <c r="AB290" s="52" t="s">
        <v>39</v>
      </c>
      <c r="AC290" s="52" t="s">
        <v>39</v>
      </c>
      <c r="AE290" s="52" t="s">
        <v>39</v>
      </c>
      <c r="AF290" s="52" t="s">
        <v>39</v>
      </c>
      <c r="AG290" s="52" t="s">
        <v>2310</v>
      </c>
      <c r="AH290" s="52" t="s">
        <v>39</v>
      </c>
      <c r="AI290" s="52" t="s">
        <v>3653</v>
      </c>
      <c r="AJ290" s="52" t="s">
        <v>3654</v>
      </c>
      <c r="AK290" s="52" t="s">
        <v>3610</v>
      </c>
      <c r="AL290" s="52">
        <v>4.7619375E8</v>
      </c>
      <c r="AM290" s="52" t="s">
        <v>587</v>
      </c>
      <c r="AN290" s="71">
        <v>4.7619375E8</v>
      </c>
      <c r="AO290" s="52" t="s">
        <v>1483</v>
      </c>
      <c r="AP290" s="52">
        <v>7325.0</v>
      </c>
      <c r="AQ290" s="52">
        <v>31825.0</v>
      </c>
      <c r="AR290" s="52" t="s">
        <v>197</v>
      </c>
      <c r="AS290" s="52" t="s">
        <v>1879</v>
      </c>
      <c r="AT290" s="52" t="s">
        <v>1879</v>
      </c>
      <c r="AU290" s="69">
        <v>45748.0</v>
      </c>
      <c r="AV290" s="69">
        <v>46111.0</v>
      </c>
      <c r="AW290" s="52" t="s">
        <v>1483</v>
      </c>
      <c r="AX290" s="69">
        <v>47021.0</v>
      </c>
      <c r="AY290" s="52">
        <v>363.0</v>
      </c>
      <c r="BA290" s="73" t="s">
        <v>3655</v>
      </c>
      <c r="BB290" s="69">
        <v>45748.0</v>
      </c>
      <c r="BG290" s="52" t="s">
        <v>2041</v>
      </c>
      <c r="BH290" s="52" t="s">
        <v>1237</v>
      </c>
      <c r="BI290" s="52" t="s">
        <v>3475</v>
      </c>
    </row>
    <row r="291">
      <c r="A291" s="52">
        <v>258.0</v>
      </c>
      <c r="B291" s="52" t="s">
        <v>1228</v>
      </c>
      <c r="C291" s="52" t="s">
        <v>2307</v>
      </c>
      <c r="D291" s="52" t="s">
        <v>1231</v>
      </c>
      <c r="E291" s="52" t="s">
        <v>1908</v>
      </c>
      <c r="F291" s="69">
        <v>45743.0</v>
      </c>
      <c r="G291" s="52" t="s">
        <v>1230</v>
      </c>
      <c r="H291" s="52" t="s">
        <v>1905</v>
      </c>
      <c r="I291" s="52" t="s">
        <v>1905</v>
      </c>
      <c r="J291" s="52" t="s">
        <v>1470</v>
      </c>
      <c r="K291" s="52" t="s">
        <v>2029</v>
      </c>
      <c r="O291" s="69">
        <v>45741.0</v>
      </c>
      <c r="P291" s="52">
        <v>2.0251110019763E13</v>
      </c>
      <c r="Q291" s="52" t="s">
        <v>2029</v>
      </c>
      <c r="R291" s="69">
        <v>45741.0</v>
      </c>
      <c r="S291" s="52" t="s">
        <v>3656</v>
      </c>
      <c r="T291" s="52" t="s">
        <v>2013</v>
      </c>
      <c r="U291" s="52" t="s">
        <v>3657</v>
      </c>
      <c r="V291" s="52" t="s">
        <v>581</v>
      </c>
      <c r="W291" s="52" t="s">
        <v>1555</v>
      </c>
      <c r="X291" s="52" t="s">
        <v>1227</v>
      </c>
      <c r="Y291" s="52" t="s">
        <v>1229</v>
      </c>
      <c r="AA291" s="52" t="s">
        <v>39</v>
      </c>
      <c r="AB291" s="52" t="s">
        <v>39</v>
      </c>
      <c r="AC291" s="52" t="s">
        <v>39</v>
      </c>
      <c r="AD291" s="52" t="s">
        <v>1556</v>
      </c>
      <c r="AE291" s="52" t="s">
        <v>39</v>
      </c>
      <c r="AF291" s="52" t="s">
        <v>39</v>
      </c>
      <c r="AG291" s="52" t="s">
        <v>2310</v>
      </c>
      <c r="AH291" s="52" t="s">
        <v>39</v>
      </c>
      <c r="AI291" s="52" t="s">
        <v>3658</v>
      </c>
      <c r="AJ291" s="52" t="s">
        <v>3659</v>
      </c>
      <c r="AK291" s="52" t="s">
        <v>2022</v>
      </c>
      <c r="AL291" s="52" t="s">
        <v>1906</v>
      </c>
      <c r="AM291" s="52" t="s">
        <v>587</v>
      </c>
      <c r="AN291" s="52" t="s">
        <v>1906</v>
      </c>
      <c r="AO291" s="52" t="s">
        <v>1483</v>
      </c>
      <c r="AP291" s="52">
        <v>25125.0</v>
      </c>
      <c r="AQ291" s="52">
        <v>32025.0</v>
      </c>
      <c r="AR291" s="52" t="s">
        <v>1907</v>
      </c>
      <c r="AS291" s="52" t="s">
        <v>1879</v>
      </c>
      <c r="AT291" s="52" t="s">
        <v>1879</v>
      </c>
      <c r="AU291" s="69">
        <v>45744.0</v>
      </c>
      <c r="AV291" s="70">
        <v>46022.0</v>
      </c>
      <c r="AW291" s="52" t="s">
        <v>1483</v>
      </c>
      <c r="AX291" s="69">
        <v>46203.0</v>
      </c>
      <c r="AY291" s="52">
        <v>278.0</v>
      </c>
      <c r="BA291" s="73" t="s">
        <v>3660</v>
      </c>
      <c r="BB291" s="69">
        <v>45744.0</v>
      </c>
      <c r="BC291" s="52" t="s">
        <v>257</v>
      </c>
      <c r="BD291" s="52">
        <v>5.298137E7</v>
      </c>
      <c r="BE291" s="52" t="s">
        <v>2298</v>
      </c>
      <c r="BF291" s="52" t="s">
        <v>258</v>
      </c>
      <c r="BG291" s="52" t="s">
        <v>2041</v>
      </c>
      <c r="BH291" s="52" t="s">
        <v>1245</v>
      </c>
      <c r="BI291" s="52" t="s">
        <v>3390</v>
      </c>
    </row>
    <row r="292">
      <c r="A292" s="52">
        <v>259.0</v>
      </c>
      <c r="B292" s="52" t="s">
        <v>1234</v>
      </c>
      <c r="C292" s="52" t="s">
        <v>2307</v>
      </c>
      <c r="D292" s="52">
        <v>8.99999022E8</v>
      </c>
      <c r="E292" s="52" t="s">
        <v>1908</v>
      </c>
      <c r="F292" s="69">
        <v>45708.0</v>
      </c>
      <c r="G292" s="52" t="s">
        <v>1236</v>
      </c>
      <c r="H292" s="52" t="s">
        <v>2257</v>
      </c>
      <c r="I292" s="52" t="s">
        <v>1908</v>
      </c>
      <c r="J292" s="52" t="s">
        <v>1908</v>
      </c>
      <c r="K292" s="52" t="s">
        <v>2011</v>
      </c>
      <c r="L292" s="52" t="s">
        <v>2010</v>
      </c>
      <c r="N292" s="52" t="s">
        <v>1908</v>
      </c>
      <c r="O292" s="69">
        <v>45708.0</v>
      </c>
      <c r="P292" s="52">
        <v>2.0251800012413E13</v>
      </c>
      <c r="Q292" s="52" t="s">
        <v>2011</v>
      </c>
      <c r="R292" s="69">
        <v>45708.0</v>
      </c>
      <c r="S292" s="52" t="s">
        <v>3661</v>
      </c>
      <c r="T292" s="52" t="s">
        <v>2013</v>
      </c>
      <c r="U292" s="52" t="s">
        <v>1908</v>
      </c>
      <c r="V292" s="52" t="s">
        <v>1133</v>
      </c>
      <c r="W292" s="52" t="s">
        <v>1555</v>
      </c>
      <c r="X292" s="52" t="s">
        <v>1133</v>
      </c>
      <c r="Y292" s="52" t="s">
        <v>1235</v>
      </c>
      <c r="AA292" s="52" t="s">
        <v>39</v>
      </c>
      <c r="AB292" s="52" t="s">
        <v>39</v>
      </c>
      <c r="AC292" s="52" t="s">
        <v>39</v>
      </c>
      <c r="AD292" s="52" t="s">
        <v>1556</v>
      </c>
      <c r="AE292" s="52" t="s">
        <v>39</v>
      </c>
      <c r="AF292" s="52" t="s">
        <v>39</v>
      </c>
      <c r="AG292" s="52" t="s">
        <v>2310</v>
      </c>
      <c r="AH292" s="52" t="s">
        <v>39</v>
      </c>
      <c r="AI292" s="52" t="s">
        <v>3546</v>
      </c>
      <c r="AJ292" s="52" t="s">
        <v>587</v>
      </c>
      <c r="AL292" s="52" t="s">
        <v>587</v>
      </c>
      <c r="AM292" s="52" t="s">
        <v>587</v>
      </c>
      <c r="AN292" s="52" t="s">
        <v>587</v>
      </c>
      <c r="AO292" s="52" t="s">
        <v>1483</v>
      </c>
      <c r="AP292" s="52" t="s">
        <v>39</v>
      </c>
      <c r="AQ292" s="52" t="s">
        <v>587</v>
      </c>
      <c r="AR292" s="52" t="s">
        <v>587</v>
      </c>
      <c r="AS292" s="52" t="s">
        <v>587</v>
      </c>
      <c r="AT292" s="52" t="s">
        <v>587</v>
      </c>
      <c r="AU292" s="69">
        <v>45708.0</v>
      </c>
      <c r="AV292" s="70">
        <v>46387.0</v>
      </c>
      <c r="AW292" s="52" t="s">
        <v>1483</v>
      </c>
      <c r="AX292" s="52" t="s">
        <v>587</v>
      </c>
      <c r="AY292" s="52">
        <v>679.0</v>
      </c>
      <c r="BA292" s="73" t="s">
        <v>3662</v>
      </c>
      <c r="BB292" s="69">
        <v>45712.0</v>
      </c>
      <c r="BC292" s="52" t="s">
        <v>229</v>
      </c>
      <c r="BD292" s="69">
        <v>1.0012294E7</v>
      </c>
      <c r="BE292" s="52" t="s">
        <v>2112</v>
      </c>
      <c r="BF292" s="52" t="s">
        <v>537</v>
      </c>
      <c r="BG292" s="52" t="s">
        <v>2041</v>
      </c>
      <c r="BH292" s="52" t="s">
        <v>1250</v>
      </c>
      <c r="BI292" s="52" t="s">
        <v>1879</v>
      </c>
    </row>
    <row r="293">
      <c r="A293" s="52">
        <v>260.0</v>
      </c>
      <c r="B293" s="52" t="s">
        <v>1239</v>
      </c>
      <c r="C293" s="52" t="s">
        <v>2307</v>
      </c>
      <c r="D293" s="52" t="s">
        <v>3663</v>
      </c>
      <c r="E293" s="52" t="s">
        <v>3664</v>
      </c>
      <c r="F293" s="69">
        <v>45771.0</v>
      </c>
      <c r="G293" s="52" t="s">
        <v>1241</v>
      </c>
      <c r="H293" s="52" t="s">
        <v>3665</v>
      </c>
      <c r="I293" s="52" t="s">
        <v>3665</v>
      </c>
      <c r="J293" s="52" t="s">
        <v>1478</v>
      </c>
      <c r="K293" s="52" t="s">
        <v>2059</v>
      </c>
      <c r="L293" s="52" t="s">
        <v>2010</v>
      </c>
      <c r="N293" s="52" t="s">
        <v>1908</v>
      </c>
      <c r="O293" s="69">
        <v>45763.0</v>
      </c>
      <c r="P293" s="52" t="s">
        <v>3666</v>
      </c>
      <c r="Q293" s="52" t="s">
        <v>2059</v>
      </c>
      <c r="R293" s="69">
        <v>45763.0</v>
      </c>
      <c r="S293" s="52" t="s">
        <v>3667</v>
      </c>
      <c r="T293" s="52" t="s">
        <v>3668</v>
      </c>
      <c r="U293" s="52" t="s">
        <v>3669</v>
      </c>
      <c r="V293" s="52" t="s">
        <v>581</v>
      </c>
      <c r="W293" s="52" t="s">
        <v>1555</v>
      </c>
      <c r="X293" s="52" t="s">
        <v>1238</v>
      </c>
      <c r="Y293" s="52" t="s">
        <v>1240</v>
      </c>
      <c r="AA293" s="52" t="s">
        <v>39</v>
      </c>
      <c r="AB293" s="52" t="s">
        <v>39</v>
      </c>
      <c r="AC293" s="52" t="s">
        <v>39</v>
      </c>
      <c r="AD293" s="52" t="s">
        <v>587</v>
      </c>
      <c r="AE293" s="52" t="s">
        <v>39</v>
      </c>
      <c r="AF293" s="52" t="s">
        <v>39</v>
      </c>
      <c r="AG293" s="52" t="s">
        <v>2310</v>
      </c>
      <c r="AH293" s="52" t="s">
        <v>39</v>
      </c>
      <c r="AI293" s="52" t="s">
        <v>3670</v>
      </c>
      <c r="AJ293" s="52" t="s">
        <v>3671</v>
      </c>
      <c r="AK293" s="52" t="s">
        <v>2022</v>
      </c>
      <c r="AL293" s="52" t="s">
        <v>1909</v>
      </c>
      <c r="AM293" s="52" t="s">
        <v>587</v>
      </c>
      <c r="AN293" s="52" t="s">
        <v>1910</v>
      </c>
      <c r="AO293" s="52" t="s">
        <v>1483</v>
      </c>
      <c r="AP293" s="52">
        <v>30125.0</v>
      </c>
      <c r="AQ293" s="52">
        <v>37125.0</v>
      </c>
      <c r="AR293" s="52" t="s">
        <v>730</v>
      </c>
      <c r="AS293" s="52" t="s">
        <v>587</v>
      </c>
      <c r="AT293" s="52" t="s">
        <v>587</v>
      </c>
      <c r="AU293" s="69">
        <v>45716.0</v>
      </c>
      <c r="AV293" s="70">
        <v>45988.0</v>
      </c>
      <c r="AW293" s="52" t="s">
        <v>1483</v>
      </c>
      <c r="AX293" s="52" t="s">
        <v>587</v>
      </c>
      <c r="AY293" s="52">
        <v>272.0</v>
      </c>
      <c r="BA293" s="73" t="s">
        <v>3672</v>
      </c>
    </row>
    <row r="294">
      <c r="B294" s="69">
        <v>45775.0</v>
      </c>
      <c r="C294" s="52" t="s">
        <v>3673</v>
      </c>
      <c r="D294" s="52">
        <v>1.03236941E9</v>
      </c>
      <c r="E294" s="52" t="s">
        <v>3674</v>
      </c>
      <c r="F294" s="52" t="s">
        <v>223</v>
      </c>
      <c r="G294" s="52" t="s">
        <v>2041</v>
      </c>
      <c r="H294" s="52" t="s">
        <v>1254</v>
      </c>
      <c r="I294" s="52" t="s">
        <v>3475</v>
      </c>
    </row>
    <row r="295">
      <c r="A295" s="52">
        <v>261.0</v>
      </c>
      <c r="B295" s="52" t="s">
        <v>1246</v>
      </c>
      <c r="C295" s="52" t="s">
        <v>2307</v>
      </c>
      <c r="D295" s="52" t="s">
        <v>3675</v>
      </c>
      <c r="E295" s="52" t="s">
        <v>3664</v>
      </c>
      <c r="F295" s="69">
        <v>45749.0</v>
      </c>
      <c r="G295" s="52" t="s">
        <v>3676</v>
      </c>
      <c r="H295" s="52" t="s">
        <v>134</v>
      </c>
      <c r="I295" s="52" t="s">
        <v>134</v>
      </c>
      <c r="J295" s="52" t="s">
        <v>1478</v>
      </c>
      <c r="K295" s="52" t="s">
        <v>2069</v>
      </c>
      <c r="L295" s="52" t="s">
        <v>2010</v>
      </c>
      <c r="N295" s="52" t="s">
        <v>1908</v>
      </c>
      <c r="O295" s="69">
        <v>46840.0</v>
      </c>
      <c r="P295" s="52">
        <v>2.0251300020383E13</v>
      </c>
      <c r="Q295" s="52" t="s">
        <v>2069</v>
      </c>
      <c r="R295" s="69">
        <v>45744.0</v>
      </c>
      <c r="S295" s="52" t="s">
        <v>3677</v>
      </c>
      <c r="T295" s="52" t="s">
        <v>2013</v>
      </c>
      <c r="U295" s="52" t="s">
        <v>3678</v>
      </c>
      <c r="V295" s="52" t="s">
        <v>581</v>
      </c>
      <c r="W295" s="52" t="s">
        <v>1555</v>
      </c>
      <c r="X295" s="52" t="s">
        <v>583</v>
      </c>
      <c r="Y295" s="52" t="s">
        <v>1247</v>
      </c>
      <c r="AD295" s="52" t="s">
        <v>587</v>
      </c>
      <c r="AG295" s="52">
        <v>126.0</v>
      </c>
      <c r="AJ295" s="52" t="s">
        <v>3679</v>
      </c>
      <c r="AK295" s="52" t="s">
        <v>2022</v>
      </c>
      <c r="AL295" s="52">
        <v>1.99832164E8</v>
      </c>
      <c r="AM295" s="52" t="s">
        <v>587</v>
      </c>
      <c r="AN295" s="52">
        <v>1.99832164E8</v>
      </c>
      <c r="AO295" s="52" t="s">
        <v>1483</v>
      </c>
      <c r="AQ295" s="52">
        <v>32925.0</v>
      </c>
      <c r="AR295" s="52" t="s">
        <v>197</v>
      </c>
      <c r="AS295" s="52" t="s">
        <v>1879</v>
      </c>
      <c r="AT295" s="52" t="s">
        <v>1879</v>
      </c>
      <c r="AU295" s="69">
        <v>45755.0</v>
      </c>
      <c r="AV295" s="69">
        <v>46119.0</v>
      </c>
      <c r="AW295" s="52" t="s">
        <v>1483</v>
      </c>
      <c r="AX295" s="70">
        <v>47057.0</v>
      </c>
      <c r="AY295" s="52">
        <v>364.0</v>
      </c>
      <c r="BB295" s="69">
        <v>45755.0</v>
      </c>
      <c r="BG295" s="52" t="s">
        <v>2041</v>
      </c>
      <c r="BH295" s="52" t="s">
        <v>1258</v>
      </c>
      <c r="BI295" s="52" t="s">
        <v>3475</v>
      </c>
    </row>
    <row r="296">
      <c r="A296" s="52">
        <v>262.0</v>
      </c>
      <c r="B296" s="52" t="s">
        <v>1251</v>
      </c>
      <c r="C296" s="52" t="s">
        <v>2005</v>
      </c>
      <c r="D296" s="52">
        <v>7.9950225E7</v>
      </c>
      <c r="E296" s="52" t="s">
        <v>1908</v>
      </c>
      <c r="F296" s="69">
        <v>45748.0</v>
      </c>
      <c r="G296" s="52" t="s">
        <v>1253</v>
      </c>
      <c r="H296" s="52" t="s">
        <v>2088</v>
      </c>
      <c r="I296" s="52" t="s">
        <v>2088</v>
      </c>
      <c r="J296" s="52" t="s">
        <v>1478</v>
      </c>
      <c r="K296" s="52" t="s">
        <v>2612</v>
      </c>
      <c r="L296" s="52" t="s">
        <v>2010</v>
      </c>
      <c r="N296" s="52" t="s">
        <v>2010</v>
      </c>
      <c r="O296" s="69">
        <v>45747.0</v>
      </c>
      <c r="P296" s="52">
        <v>2.0251000020583E13</v>
      </c>
      <c r="Q296" s="52" t="s">
        <v>2612</v>
      </c>
      <c r="R296" s="69">
        <v>45747.0</v>
      </c>
      <c r="S296" s="52" t="s">
        <v>3680</v>
      </c>
      <c r="T296" s="52" t="s">
        <v>2013</v>
      </c>
      <c r="U296" s="52" t="s">
        <v>3681</v>
      </c>
      <c r="V296" s="52" t="s">
        <v>581</v>
      </c>
      <c r="W296" s="52" t="s">
        <v>1471</v>
      </c>
      <c r="X296" s="52" t="s">
        <v>583</v>
      </c>
      <c r="Y296" s="52" t="s">
        <v>1252</v>
      </c>
      <c r="Z296" s="52" t="s">
        <v>2081</v>
      </c>
      <c r="AA296" s="52" t="s">
        <v>2016</v>
      </c>
      <c r="AB296" s="52" t="s">
        <v>2062</v>
      </c>
      <c r="AC296" s="52" t="s">
        <v>2114</v>
      </c>
      <c r="AD296" s="52" t="s">
        <v>587</v>
      </c>
      <c r="AE296" s="52" t="s">
        <v>2019</v>
      </c>
      <c r="AG296" s="52">
        <v>126.0</v>
      </c>
      <c r="AH296" s="52" t="s">
        <v>1472</v>
      </c>
      <c r="AI296" s="52" t="s">
        <v>39</v>
      </c>
      <c r="AJ296" s="52" t="s">
        <v>3682</v>
      </c>
      <c r="AK296" s="52" t="s">
        <v>2022</v>
      </c>
      <c r="AL296" s="52">
        <v>4.2E7</v>
      </c>
      <c r="AM296" s="52" t="s">
        <v>587</v>
      </c>
      <c r="AN296" s="52">
        <v>4.2E7</v>
      </c>
      <c r="AO296" s="52" t="s">
        <v>1483</v>
      </c>
      <c r="AP296" s="52">
        <v>29825.0</v>
      </c>
      <c r="AQ296" s="52">
        <v>32725.0</v>
      </c>
      <c r="AR296" s="52" t="s">
        <v>77</v>
      </c>
      <c r="AS296" s="69">
        <v>45749.0</v>
      </c>
      <c r="AT296" s="70">
        <v>45933.0</v>
      </c>
      <c r="AU296" s="69">
        <v>45749.0</v>
      </c>
      <c r="AV296" s="70">
        <v>45931.0</v>
      </c>
      <c r="AW296" s="52" t="s">
        <v>1483</v>
      </c>
      <c r="AX296" s="52" t="s">
        <v>587</v>
      </c>
      <c r="AY296" s="52">
        <v>182.0</v>
      </c>
      <c r="BA296" s="73" t="s">
        <v>3683</v>
      </c>
      <c r="BB296" s="69">
        <v>45749.0</v>
      </c>
      <c r="BC296" s="52" t="s">
        <v>2663</v>
      </c>
      <c r="BD296" s="52">
        <v>1.019090785E9</v>
      </c>
      <c r="BE296" s="52" t="s">
        <v>2120</v>
      </c>
      <c r="BF296" s="52" t="s">
        <v>537</v>
      </c>
      <c r="BG296" s="52" t="s">
        <v>2041</v>
      </c>
      <c r="BH296" s="52" t="s">
        <v>1263</v>
      </c>
      <c r="BI296" s="52" t="s">
        <v>3475</v>
      </c>
    </row>
    <row r="297">
      <c r="A297" s="52">
        <v>263.0</v>
      </c>
      <c r="B297" s="52" t="s">
        <v>1255</v>
      </c>
      <c r="C297" s="52" t="s">
        <v>2005</v>
      </c>
      <c r="D297" s="52">
        <v>1.032359288E9</v>
      </c>
      <c r="E297" s="52" t="s">
        <v>1908</v>
      </c>
      <c r="F297" s="69">
        <v>45748.0</v>
      </c>
      <c r="G297" s="52" t="s">
        <v>1257</v>
      </c>
      <c r="H297" s="52" t="s">
        <v>2088</v>
      </c>
      <c r="I297" s="52" t="s">
        <v>2088</v>
      </c>
      <c r="J297" s="52" t="s">
        <v>1478</v>
      </c>
      <c r="K297" s="52" t="s">
        <v>2051</v>
      </c>
      <c r="L297" s="52" t="s">
        <v>2010</v>
      </c>
      <c r="N297" s="52" t="s">
        <v>2010</v>
      </c>
      <c r="O297" s="69">
        <v>45747.0</v>
      </c>
      <c r="P297" s="52">
        <v>2.0251000020573E13</v>
      </c>
      <c r="Q297" s="52" t="s">
        <v>2213</v>
      </c>
      <c r="R297" s="69">
        <v>45747.0</v>
      </c>
      <c r="S297" s="52" t="s">
        <v>3684</v>
      </c>
      <c r="T297" s="52" t="s">
        <v>2013</v>
      </c>
      <c r="U297" s="52" t="s">
        <v>3685</v>
      </c>
      <c r="V297" s="52" t="s">
        <v>581</v>
      </c>
      <c r="W297" s="52" t="s">
        <v>1471</v>
      </c>
      <c r="X297" s="52" t="s">
        <v>583</v>
      </c>
      <c r="Y297" s="52" t="s">
        <v>1256</v>
      </c>
      <c r="Z297" s="52" t="s">
        <v>2015</v>
      </c>
      <c r="AA297" s="52" t="s">
        <v>2016</v>
      </c>
      <c r="AB297" s="52" t="s">
        <v>2062</v>
      </c>
      <c r="AC297" s="52" t="s">
        <v>2018</v>
      </c>
      <c r="AD297" s="52" t="s">
        <v>587</v>
      </c>
      <c r="AE297" s="52" t="s">
        <v>2019</v>
      </c>
      <c r="AG297" s="52">
        <v>126.0</v>
      </c>
      <c r="AH297" s="52" t="s">
        <v>1911</v>
      </c>
      <c r="AI297" s="52" t="s">
        <v>39</v>
      </c>
      <c r="AJ297" s="52" t="s">
        <v>3686</v>
      </c>
      <c r="AK297" s="52" t="s">
        <v>2022</v>
      </c>
      <c r="AL297" s="52">
        <v>3.6212734E7</v>
      </c>
      <c r="AM297" s="52" t="s">
        <v>587</v>
      </c>
      <c r="AN297" s="52">
        <v>3.6212734E7</v>
      </c>
      <c r="AO297" s="52" t="s">
        <v>1483</v>
      </c>
      <c r="AP297" s="52">
        <v>29325.0</v>
      </c>
      <c r="AQ297" s="52">
        <v>32825.0</v>
      </c>
      <c r="AR297" s="52" t="s">
        <v>98</v>
      </c>
      <c r="AS297" s="69">
        <v>45751.0</v>
      </c>
      <c r="AT297" s="70">
        <v>45963.0</v>
      </c>
      <c r="AU297" s="69">
        <v>45751.0</v>
      </c>
      <c r="AV297" s="70">
        <v>45963.0</v>
      </c>
      <c r="AW297" s="52" t="s">
        <v>1483</v>
      </c>
      <c r="AX297" s="52" t="s">
        <v>587</v>
      </c>
      <c r="AY297" s="52">
        <v>212.0</v>
      </c>
      <c r="BA297" s="73" t="s">
        <v>3687</v>
      </c>
    </row>
    <row r="298">
      <c r="B298" s="69">
        <v>45751.0</v>
      </c>
      <c r="C298" s="52" t="s">
        <v>2663</v>
      </c>
      <c r="D298" s="52">
        <v>1.019090785E9</v>
      </c>
      <c r="E298" s="52" t="s">
        <v>2120</v>
      </c>
      <c r="F298" s="52" t="s">
        <v>537</v>
      </c>
      <c r="G298" s="52" t="s">
        <v>2041</v>
      </c>
      <c r="H298" s="52" t="s">
        <v>1269</v>
      </c>
    </row>
    <row r="299">
      <c r="B299" s="52" t="s">
        <v>3475</v>
      </c>
    </row>
    <row r="300">
      <c r="A300" s="52">
        <v>264.0</v>
      </c>
      <c r="B300" s="52" t="s">
        <v>1259</v>
      </c>
      <c r="C300" s="52" t="s">
        <v>2005</v>
      </c>
      <c r="D300" s="52">
        <v>1.088259482E9</v>
      </c>
      <c r="E300" s="52" t="s">
        <v>1908</v>
      </c>
      <c r="F300" s="69">
        <v>45755.0</v>
      </c>
      <c r="G300" s="52" t="s">
        <v>1261</v>
      </c>
      <c r="H300" s="52" t="s">
        <v>2088</v>
      </c>
      <c r="I300" s="52" t="s">
        <v>2088</v>
      </c>
      <c r="J300" s="52" t="s">
        <v>1478</v>
      </c>
      <c r="K300" s="52" t="s">
        <v>2059</v>
      </c>
      <c r="L300" s="52" t="s">
        <v>2010</v>
      </c>
      <c r="N300" s="52" t="s">
        <v>2010</v>
      </c>
      <c r="O300" s="69">
        <v>45748.0</v>
      </c>
      <c r="P300" s="52">
        <v>2.0251000021453E13</v>
      </c>
      <c r="Q300" s="52" t="s">
        <v>2059</v>
      </c>
      <c r="R300" s="69">
        <v>45748.0</v>
      </c>
      <c r="S300" s="52" t="s">
        <v>3688</v>
      </c>
      <c r="T300" s="52" t="s">
        <v>2013</v>
      </c>
      <c r="U300" s="52" t="s">
        <v>3689</v>
      </c>
      <c r="V300" s="52" t="s">
        <v>581</v>
      </c>
      <c r="W300" s="52" t="s">
        <v>1471</v>
      </c>
      <c r="X300" s="52" t="s">
        <v>583</v>
      </c>
      <c r="Y300" s="52" t="s">
        <v>1260</v>
      </c>
      <c r="Z300" s="52" t="s">
        <v>2015</v>
      </c>
      <c r="AA300" s="52" t="s">
        <v>2016</v>
      </c>
      <c r="AB300" s="52" t="s">
        <v>2062</v>
      </c>
      <c r="AC300" s="52" t="s">
        <v>2082</v>
      </c>
      <c r="AE300" s="52" t="s">
        <v>3690</v>
      </c>
      <c r="AG300" s="52">
        <v>126.0</v>
      </c>
      <c r="AH300" s="52" t="s">
        <v>1913</v>
      </c>
      <c r="AI300" s="52" t="s">
        <v>39</v>
      </c>
      <c r="AJ300" s="52" t="s">
        <v>3691</v>
      </c>
      <c r="AK300" s="52" t="s">
        <v>2022</v>
      </c>
      <c r="AL300" s="52">
        <v>3.427648E7</v>
      </c>
      <c r="AM300" s="52" t="s">
        <v>587</v>
      </c>
      <c r="AN300" s="52">
        <v>3.427648E7</v>
      </c>
      <c r="AO300" s="52" t="s">
        <v>1483</v>
      </c>
      <c r="AP300" s="52">
        <v>29525.0</v>
      </c>
      <c r="AQ300" s="52">
        <v>34025.0</v>
      </c>
      <c r="AR300" s="52" t="s">
        <v>77</v>
      </c>
      <c r="AS300" s="69">
        <v>45756.0</v>
      </c>
      <c r="AT300" s="70">
        <v>45984.0</v>
      </c>
      <c r="AU300" s="69">
        <v>45756.0</v>
      </c>
      <c r="AV300" s="70">
        <v>45983.0</v>
      </c>
      <c r="AW300" s="52" t="s">
        <v>1483</v>
      </c>
      <c r="AX300" s="52" t="s">
        <v>587</v>
      </c>
      <c r="AY300" s="52">
        <v>227.0</v>
      </c>
      <c r="BA300" s="73" t="s">
        <v>3692</v>
      </c>
      <c r="BB300" s="69">
        <v>45756.0</v>
      </c>
      <c r="BC300" s="52" t="s">
        <v>2663</v>
      </c>
      <c r="BD300" s="52">
        <v>1.019090785E9</v>
      </c>
      <c r="BE300" s="52" t="s">
        <v>2120</v>
      </c>
      <c r="BF300" s="52" t="s">
        <v>537</v>
      </c>
      <c r="BG300" s="52" t="s">
        <v>2041</v>
      </c>
      <c r="BH300" s="52" t="s">
        <v>1279</v>
      </c>
      <c r="BI300" s="52" t="s">
        <v>3475</v>
      </c>
    </row>
    <row r="301">
      <c r="A301" s="52">
        <v>265.0</v>
      </c>
      <c r="B301" s="52" t="s">
        <v>1264</v>
      </c>
      <c r="C301" s="52" t="s">
        <v>2307</v>
      </c>
      <c r="D301" s="52" t="s">
        <v>3693</v>
      </c>
      <c r="E301" s="52" t="s">
        <v>1908</v>
      </c>
      <c r="F301" s="69">
        <v>45756.0</v>
      </c>
      <c r="G301" s="52" t="s">
        <v>1266</v>
      </c>
      <c r="H301" s="52" t="s">
        <v>2028</v>
      </c>
      <c r="I301" s="52" t="s">
        <v>2028</v>
      </c>
      <c r="J301" s="52" t="s">
        <v>1470</v>
      </c>
      <c r="K301" s="52" t="s">
        <v>2029</v>
      </c>
      <c r="L301" s="52" t="s">
        <v>2010</v>
      </c>
      <c r="N301" s="52" t="s">
        <v>2010</v>
      </c>
      <c r="O301" s="69">
        <v>45749.0</v>
      </c>
      <c r="P301" s="52">
        <v>2.0251110021903E13</v>
      </c>
      <c r="Q301" s="52" t="s">
        <v>2029</v>
      </c>
      <c r="R301" s="69">
        <v>45749.0</v>
      </c>
      <c r="S301" s="52" t="s">
        <v>3694</v>
      </c>
      <c r="T301" s="52" t="s">
        <v>2013</v>
      </c>
      <c r="U301" s="52" t="s">
        <v>3695</v>
      </c>
      <c r="V301" s="52" t="s">
        <v>581</v>
      </c>
      <c r="W301" s="52" t="s">
        <v>1555</v>
      </c>
      <c r="X301" s="52" t="s">
        <v>1030</v>
      </c>
      <c r="Y301" s="52" t="s">
        <v>1265</v>
      </c>
      <c r="AA301" s="52" t="s">
        <v>39</v>
      </c>
      <c r="AB301" s="52" t="s">
        <v>39</v>
      </c>
      <c r="AC301" s="52" t="s">
        <v>39</v>
      </c>
      <c r="AE301" s="52" t="s">
        <v>39</v>
      </c>
      <c r="AG301" s="52">
        <v>126.0</v>
      </c>
      <c r="AH301" s="52" t="s">
        <v>39</v>
      </c>
      <c r="AI301" s="52" t="s">
        <v>3696</v>
      </c>
      <c r="AJ301" s="52" t="s">
        <v>3697</v>
      </c>
      <c r="AK301" s="52" t="s">
        <v>2022</v>
      </c>
      <c r="AL301" s="52" t="s">
        <v>1914</v>
      </c>
      <c r="AM301" s="52" t="s">
        <v>587</v>
      </c>
      <c r="AN301" s="52" t="s">
        <v>1914</v>
      </c>
      <c r="AO301" s="52" t="s">
        <v>1483</v>
      </c>
      <c r="AP301" s="52">
        <v>27325.0</v>
      </c>
      <c r="AQ301" s="52">
        <v>34225.0</v>
      </c>
      <c r="AR301" s="52" t="s">
        <v>858</v>
      </c>
      <c r="AS301" s="52" t="s">
        <v>39</v>
      </c>
      <c r="AT301" s="52" t="s">
        <v>39</v>
      </c>
      <c r="AU301" s="69">
        <v>45769.0</v>
      </c>
      <c r="AV301" s="70">
        <v>46006.0</v>
      </c>
      <c r="AX301" s="69">
        <v>46189.0</v>
      </c>
      <c r="AY301" s="52">
        <v>237.0</v>
      </c>
      <c r="BA301" s="73" t="s">
        <v>3698</v>
      </c>
      <c r="BB301" s="69">
        <v>45769.0</v>
      </c>
      <c r="BC301" s="52" t="s">
        <v>3699</v>
      </c>
      <c r="BD301" s="52">
        <v>1.9303987E7</v>
      </c>
      <c r="BE301" s="52" t="s">
        <v>3700</v>
      </c>
      <c r="BF301" s="52" t="s">
        <v>848</v>
      </c>
      <c r="BG301" s="52" t="s">
        <v>2041</v>
      </c>
      <c r="BH301" s="52" t="s">
        <v>1283</v>
      </c>
      <c r="BI301" s="52" t="s">
        <v>3701</v>
      </c>
    </row>
    <row r="302">
      <c r="A302" s="52">
        <v>266.0</v>
      </c>
      <c r="B302" s="52" t="s">
        <v>1270</v>
      </c>
      <c r="C302" s="52" t="s">
        <v>2005</v>
      </c>
      <c r="D302" s="52">
        <v>1.088304014E9</v>
      </c>
      <c r="E302" s="52" t="s">
        <v>1908</v>
      </c>
      <c r="F302" s="69">
        <v>45757.0</v>
      </c>
      <c r="G302" s="52" t="s">
        <v>1272</v>
      </c>
      <c r="H302" s="52" t="s">
        <v>2088</v>
      </c>
      <c r="I302" s="52" t="s">
        <v>2088</v>
      </c>
      <c r="J302" s="52" t="s">
        <v>1478</v>
      </c>
      <c r="K302" s="52" t="s">
        <v>2515</v>
      </c>
      <c r="L302" s="52" t="s">
        <v>2010</v>
      </c>
      <c r="N302" s="52" t="s">
        <v>2010</v>
      </c>
      <c r="O302" s="69">
        <v>45749.0</v>
      </c>
      <c r="P302" s="52">
        <v>2.0251000022103E13</v>
      </c>
      <c r="Q302" s="52" t="s">
        <v>2515</v>
      </c>
      <c r="R302" s="69">
        <v>45749.0</v>
      </c>
      <c r="S302" s="52" t="s">
        <v>3702</v>
      </c>
      <c r="T302" s="52" t="s">
        <v>2013</v>
      </c>
      <c r="U302" s="52" t="s">
        <v>3645</v>
      </c>
      <c r="V302" s="52" t="s">
        <v>581</v>
      </c>
      <c r="W302" s="52" t="s">
        <v>1471</v>
      </c>
      <c r="X302" s="52" t="s">
        <v>583</v>
      </c>
      <c r="Y302" s="52" t="s">
        <v>1271</v>
      </c>
      <c r="Z302" s="52" t="s">
        <v>2081</v>
      </c>
      <c r="AA302" s="52" t="s">
        <v>2016</v>
      </c>
      <c r="AB302" s="52" t="s">
        <v>2062</v>
      </c>
      <c r="AC302" s="52" t="s">
        <v>2016</v>
      </c>
      <c r="AE302" s="52" t="s">
        <v>2841</v>
      </c>
      <c r="AG302" s="52">
        <v>126.0</v>
      </c>
      <c r="AH302" s="52" t="s">
        <v>1526</v>
      </c>
      <c r="AI302" s="52" t="s">
        <v>3703</v>
      </c>
      <c r="AJ302" s="52" t="s">
        <v>3704</v>
      </c>
      <c r="AK302" s="52" t="s">
        <v>2022</v>
      </c>
      <c r="AL302" s="52">
        <v>3.5E7</v>
      </c>
      <c r="AN302" s="52">
        <v>3.75799E7</v>
      </c>
      <c r="AO302" s="52" t="s">
        <v>1483</v>
      </c>
      <c r="AP302" s="52">
        <v>29925.0</v>
      </c>
      <c r="AQ302" s="52">
        <v>34525.0</v>
      </c>
      <c r="AR302" s="52" t="s">
        <v>77</v>
      </c>
      <c r="AS302" s="69">
        <v>45758.0</v>
      </c>
      <c r="AT302" s="70">
        <v>45974.0</v>
      </c>
      <c r="AU302" s="69">
        <v>45758.0</v>
      </c>
      <c r="AV302" s="70">
        <v>45971.0</v>
      </c>
      <c r="AX302" s="52" t="s">
        <v>587</v>
      </c>
      <c r="AY302" s="52">
        <v>213.0</v>
      </c>
      <c r="BA302" s="73" t="s">
        <v>3705</v>
      </c>
      <c r="BB302" s="69">
        <v>45758.0</v>
      </c>
      <c r="BC302" s="52" t="s">
        <v>2663</v>
      </c>
      <c r="BD302" s="52">
        <v>1.019090785E9</v>
      </c>
      <c r="BE302" s="52" t="s">
        <v>2120</v>
      </c>
      <c r="BF302" s="52" t="s">
        <v>537</v>
      </c>
      <c r="BG302" s="52" t="s">
        <v>2041</v>
      </c>
      <c r="BH302" s="52" t="s">
        <v>1287</v>
      </c>
      <c r="BI302" s="52" t="s">
        <v>3475</v>
      </c>
    </row>
    <row r="303">
      <c r="A303" s="52">
        <v>267.0</v>
      </c>
      <c r="B303" s="52" t="s">
        <v>1274</v>
      </c>
      <c r="C303" s="52" t="s">
        <v>2307</v>
      </c>
      <c r="D303" s="52" t="s">
        <v>3706</v>
      </c>
      <c r="E303" s="52" t="s">
        <v>3707</v>
      </c>
      <c r="F303" s="69">
        <v>45758.0</v>
      </c>
      <c r="G303" s="52" t="s">
        <v>3708</v>
      </c>
      <c r="H303" s="52" t="s">
        <v>1901</v>
      </c>
      <c r="I303" s="52" t="s">
        <v>1901</v>
      </c>
      <c r="J303" s="52" t="s">
        <v>1478</v>
      </c>
      <c r="K303" s="52" t="s">
        <v>2612</v>
      </c>
      <c r="L303" s="52" t="s">
        <v>2010</v>
      </c>
      <c r="N303" s="52" t="s">
        <v>1908</v>
      </c>
      <c r="O303" s="69">
        <v>45755.0</v>
      </c>
      <c r="P303" s="52" t="s">
        <v>3709</v>
      </c>
      <c r="Q303" s="52" t="s">
        <v>2612</v>
      </c>
      <c r="R303" s="69">
        <v>45750.0</v>
      </c>
      <c r="S303" s="52" t="s">
        <v>3710</v>
      </c>
      <c r="T303" s="52" t="s">
        <v>2013</v>
      </c>
      <c r="U303" s="52" t="s">
        <v>3711</v>
      </c>
      <c r="V303" s="52" t="s">
        <v>581</v>
      </c>
      <c r="W303" s="52" t="s">
        <v>1555</v>
      </c>
      <c r="X303" s="52" t="s">
        <v>1238</v>
      </c>
      <c r="Y303" s="52" t="s">
        <v>1275</v>
      </c>
      <c r="AA303" s="52" t="s">
        <v>39</v>
      </c>
      <c r="AB303" s="52" t="s">
        <v>39</v>
      </c>
      <c r="AC303" s="52" t="s">
        <v>39</v>
      </c>
      <c r="AE303" s="52" t="s">
        <v>39</v>
      </c>
      <c r="AG303" s="52">
        <v>126.0</v>
      </c>
      <c r="AH303" s="52" t="s">
        <v>39</v>
      </c>
      <c r="AI303" s="52" t="s">
        <v>3712</v>
      </c>
      <c r="AJ303" s="52" t="s">
        <v>3713</v>
      </c>
      <c r="AK303" s="52" t="s">
        <v>2022</v>
      </c>
      <c r="AL303" s="52">
        <v>1.92E8</v>
      </c>
      <c r="AN303" s="52">
        <v>1.92E8</v>
      </c>
      <c r="AO303" s="52" t="s">
        <v>1483</v>
      </c>
      <c r="AP303" s="52">
        <v>30525.0</v>
      </c>
      <c r="AQ303" s="52">
        <v>34825.0</v>
      </c>
      <c r="AR303" s="52" t="s">
        <v>47</v>
      </c>
      <c r="AS303" s="52" t="s">
        <v>1879</v>
      </c>
      <c r="AT303" s="52" t="s">
        <v>1879</v>
      </c>
      <c r="AU303" s="69">
        <v>45763.0</v>
      </c>
      <c r="AV303" s="70">
        <v>45991.0</v>
      </c>
      <c r="AX303" s="69">
        <v>46166.0</v>
      </c>
      <c r="AY303" s="52">
        <v>228.0</v>
      </c>
      <c r="AZ303" s="52" t="s">
        <v>39</v>
      </c>
      <c r="BA303" s="73" t="s">
        <v>3714</v>
      </c>
      <c r="BB303" s="69">
        <v>45763.0</v>
      </c>
      <c r="BC303" s="52" t="s">
        <v>204</v>
      </c>
      <c r="BD303" s="52">
        <v>1.020770196E9</v>
      </c>
      <c r="BE303" s="52" t="s">
        <v>3715</v>
      </c>
      <c r="BF303" s="52" t="s">
        <v>205</v>
      </c>
      <c r="BG303" s="52" t="s">
        <v>2041</v>
      </c>
      <c r="BH303" s="52" t="s">
        <v>1292</v>
      </c>
      <c r="BI303" s="52" t="s">
        <v>3475</v>
      </c>
    </row>
    <row r="304">
      <c r="A304" s="52">
        <v>268.0</v>
      </c>
      <c r="B304" s="52" t="s">
        <v>1280</v>
      </c>
      <c r="C304" s="52" t="s">
        <v>2005</v>
      </c>
      <c r="D304" s="52">
        <v>7.2218912E7</v>
      </c>
      <c r="E304" s="52" t="s">
        <v>1908</v>
      </c>
      <c r="F304" s="69">
        <v>45757.0</v>
      </c>
      <c r="G304" s="52" t="s">
        <v>1282</v>
      </c>
      <c r="H304" s="52" t="s">
        <v>2088</v>
      </c>
      <c r="I304" s="52" t="s">
        <v>2088</v>
      </c>
      <c r="J304" s="52" t="s">
        <v>1478</v>
      </c>
      <c r="K304" s="52" t="s">
        <v>2069</v>
      </c>
      <c r="L304" s="52" t="s">
        <v>2010</v>
      </c>
      <c r="N304" s="52" t="s">
        <v>2010</v>
      </c>
      <c r="O304" s="69">
        <v>45750.0</v>
      </c>
      <c r="P304" s="52">
        <v>2.0251000022883E13</v>
      </c>
      <c r="Q304" s="52" t="s">
        <v>2069</v>
      </c>
      <c r="R304" s="69">
        <v>45750.0</v>
      </c>
      <c r="S304" s="52" t="s">
        <v>3716</v>
      </c>
      <c r="T304" s="52" t="s">
        <v>2013</v>
      </c>
      <c r="U304" s="52" t="s">
        <v>3717</v>
      </c>
      <c r="V304" s="52" t="s">
        <v>581</v>
      </c>
      <c r="W304" s="52" t="s">
        <v>1471</v>
      </c>
      <c r="X304" s="52" t="s">
        <v>583</v>
      </c>
      <c r="Y304" s="52" t="s">
        <v>1281</v>
      </c>
      <c r="Z304" s="52" t="s">
        <v>2081</v>
      </c>
      <c r="AA304" s="52" t="s">
        <v>2882</v>
      </c>
      <c r="AB304" s="52" t="s">
        <v>2062</v>
      </c>
      <c r="AC304" s="52" t="s">
        <v>2114</v>
      </c>
      <c r="AE304" s="52" t="s">
        <v>3718</v>
      </c>
      <c r="AG304" s="52">
        <v>126.0</v>
      </c>
      <c r="AH304" s="52" t="s">
        <v>1917</v>
      </c>
      <c r="AI304" s="52" t="s">
        <v>3719</v>
      </c>
      <c r="AJ304" s="52" t="s">
        <v>3720</v>
      </c>
      <c r="AK304" s="52" t="s">
        <v>2022</v>
      </c>
      <c r="AL304" s="52">
        <v>5.4841995E7</v>
      </c>
      <c r="AP304" s="52">
        <v>29425.0</v>
      </c>
      <c r="AQ304" s="52">
        <v>34425.0</v>
      </c>
      <c r="AR304" s="52" t="s">
        <v>98</v>
      </c>
      <c r="AS304" s="69">
        <v>45758.0</v>
      </c>
      <c r="AT304" s="70">
        <v>46002.0</v>
      </c>
      <c r="AU304" s="69">
        <v>45758.0</v>
      </c>
      <c r="AV304" s="70">
        <v>46001.0</v>
      </c>
      <c r="AX304" s="52" t="s">
        <v>587</v>
      </c>
      <c r="AY304" s="52">
        <v>243.0</v>
      </c>
      <c r="AZ304" s="52" t="s">
        <v>39</v>
      </c>
      <c r="BA304" s="73" t="s">
        <v>3721</v>
      </c>
      <c r="BB304" s="69">
        <v>45758.0</v>
      </c>
      <c r="BC304" s="52" t="s">
        <v>2663</v>
      </c>
      <c r="BD304" s="52">
        <v>1.019090785E9</v>
      </c>
      <c r="BE304" s="52" t="s">
        <v>2120</v>
      </c>
      <c r="BF304" s="52" t="s">
        <v>537</v>
      </c>
      <c r="BG304" s="52" t="s">
        <v>2041</v>
      </c>
      <c r="BH304" s="52" t="s">
        <v>1299</v>
      </c>
      <c r="BI304" s="52" t="s">
        <v>3475</v>
      </c>
    </row>
    <row r="305">
      <c r="A305" s="52">
        <v>269.0</v>
      </c>
      <c r="B305" s="52" t="s">
        <v>1284</v>
      </c>
      <c r="C305" s="52" t="s">
        <v>2005</v>
      </c>
      <c r="D305" s="52">
        <v>1.12841675E9</v>
      </c>
      <c r="E305" s="52" t="s">
        <v>1908</v>
      </c>
      <c r="F305" s="69">
        <v>45751.0</v>
      </c>
      <c r="G305" s="52" t="s">
        <v>1285</v>
      </c>
      <c r="H305" s="52" t="s">
        <v>1896</v>
      </c>
      <c r="I305" s="52" t="s">
        <v>1896</v>
      </c>
      <c r="J305" s="52" t="s">
        <v>1478</v>
      </c>
      <c r="K305" s="52" t="s">
        <v>2612</v>
      </c>
      <c r="L305" s="52" t="s">
        <v>2010</v>
      </c>
      <c r="N305" s="52" t="s">
        <v>2010</v>
      </c>
      <c r="O305" s="69">
        <v>45750.0</v>
      </c>
      <c r="P305" s="52">
        <v>2.0251000022863E13</v>
      </c>
      <c r="Q305" s="52" t="s">
        <v>2612</v>
      </c>
      <c r="R305" s="69">
        <v>45750.0</v>
      </c>
      <c r="S305" s="52" t="s">
        <v>3722</v>
      </c>
      <c r="T305" s="52" t="s">
        <v>2013</v>
      </c>
      <c r="U305" s="52" t="s">
        <v>3723</v>
      </c>
      <c r="V305" s="52" t="s">
        <v>581</v>
      </c>
      <c r="W305" s="52" t="s">
        <v>1471</v>
      </c>
      <c r="X305" s="52" t="s">
        <v>583</v>
      </c>
      <c r="Y305" s="52" t="s">
        <v>1260</v>
      </c>
      <c r="Z305" s="52" t="s">
        <v>2015</v>
      </c>
      <c r="AA305" s="52" t="s">
        <v>2016</v>
      </c>
      <c r="AB305" s="52" t="s">
        <v>2032</v>
      </c>
      <c r="AC305" s="52" t="s">
        <v>2033</v>
      </c>
      <c r="AE305" s="52" t="s">
        <v>3724</v>
      </c>
      <c r="AG305" s="52">
        <v>126.0</v>
      </c>
      <c r="AH305" s="52" t="s">
        <v>1919</v>
      </c>
      <c r="AI305" s="52" t="s">
        <v>3725</v>
      </c>
      <c r="AJ305" s="52" t="s">
        <v>3726</v>
      </c>
      <c r="AK305" s="52" t="s">
        <v>2022</v>
      </c>
      <c r="AL305" s="52">
        <v>8.0973E7</v>
      </c>
      <c r="AP305" s="52">
        <v>28425.0</v>
      </c>
      <c r="AQ305" s="52">
        <v>33625.0</v>
      </c>
      <c r="AR305" s="52" t="s">
        <v>77</v>
      </c>
      <c r="AS305" s="69">
        <v>45755.0</v>
      </c>
      <c r="AT305" s="70">
        <v>46022.0</v>
      </c>
      <c r="AU305" s="69">
        <v>45755.0</v>
      </c>
      <c r="AV305" s="70">
        <v>46022.0</v>
      </c>
      <c r="AX305" s="52" t="s">
        <v>587</v>
      </c>
      <c r="AY305" s="52">
        <v>267.0</v>
      </c>
      <c r="AZ305" s="52" t="s">
        <v>39</v>
      </c>
      <c r="BA305" s="73" t="s">
        <v>3727</v>
      </c>
      <c r="BB305" s="69">
        <v>45755.0</v>
      </c>
      <c r="BC305" s="52" t="s">
        <v>2663</v>
      </c>
      <c r="BD305" s="52">
        <v>1.019090785E9</v>
      </c>
      <c r="BE305" s="52" t="s">
        <v>2120</v>
      </c>
      <c r="BF305" s="52" t="s">
        <v>537</v>
      </c>
      <c r="BG305" s="52" t="s">
        <v>2041</v>
      </c>
      <c r="BH305" s="52" t="s">
        <v>1303</v>
      </c>
      <c r="BI305" s="52" t="s">
        <v>3475</v>
      </c>
    </row>
    <row r="306">
      <c r="A306" s="52">
        <v>270.0</v>
      </c>
      <c r="B306" s="52" t="s">
        <v>1288</v>
      </c>
      <c r="C306" s="52" t="s">
        <v>2323</v>
      </c>
      <c r="D306" s="52">
        <v>5.22132302E8</v>
      </c>
      <c r="E306" s="52" t="s">
        <v>3707</v>
      </c>
      <c r="F306" s="69">
        <v>45751.0</v>
      </c>
      <c r="G306" s="52" t="s">
        <v>1290</v>
      </c>
      <c r="H306" s="52" t="s">
        <v>3728</v>
      </c>
      <c r="I306" s="52" t="s">
        <v>3728</v>
      </c>
      <c r="J306" s="52" t="s">
        <v>1478</v>
      </c>
      <c r="K306" s="52" t="s">
        <v>2213</v>
      </c>
      <c r="L306" s="52" t="s">
        <v>2010</v>
      </c>
      <c r="O306" s="69">
        <v>45751.0</v>
      </c>
      <c r="P306" s="52">
        <v>2.0251400023433E13</v>
      </c>
      <c r="Q306" s="52" t="s">
        <v>3729</v>
      </c>
      <c r="R306" s="69">
        <v>45751.0</v>
      </c>
      <c r="S306" s="52" t="s">
        <v>3730</v>
      </c>
      <c r="T306" s="52" t="s">
        <v>2013</v>
      </c>
      <c r="U306" s="52" t="s">
        <v>3731</v>
      </c>
      <c r="V306" s="52" t="s">
        <v>581</v>
      </c>
      <c r="W306" s="52" t="s">
        <v>1555</v>
      </c>
      <c r="X306" s="52" t="s">
        <v>1191</v>
      </c>
      <c r="Y306" s="52" t="s">
        <v>1289</v>
      </c>
      <c r="AA306" s="52" t="s">
        <v>39</v>
      </c>
      <c r="AB306" s="52" t="s">
        <v>39</v>
      </c>
      <c r="AC306" s="52" t="s">
        <v>39</v>
      </c>
      <c r="AE306" s="52" t="s">
        <v>39</v>
      </c>
      <c r="AG306" s="52">
        <v>126.0</v>
      </c>
      <c r="AH306" s="52" t="s">
        <v>39</v>
      </c>
      <c r="AI306" s="52" t="s">
        <v>3732</v>
      </c>
      <c r="AJ306" s="52" t="s">
        <v>3733</v>
      </c>
      <c r="AK306" s="52" t="s">
        <v>3610</v>
      </c>
      <c r="AL306" s="52">
        <v>3.9E8</v>
      </c>
      <c r="AP306" s="52">
        <v>30325.0</v>
      </c>
      <c r="AQ306" s="52">
        <v>33825.0</v>
      </c>
      <c r="AR306" s="52" t="s">
        <v>1108</v>
      </c>
      <c r="AS306" s="52" t="s">
        <v>1879</v>
      </c>
      <c r="AT306" s="52" t="s">
        <v>1879</v>
      </c>
      <c r="AU306" s="69">
        <v>45755.0</v>
      </c>
      <c r="AV306" s="69">
        <v>46116.0</v>
      </c>
      <c r="AX306" s="52" t="s">
        <v>587</v>
      </c>
      <c r="AY306" s="52">
        <v>361.0</v>
      </c>
      <c r="AZ306" s="52" t="s">
        <v>39</v>
      </c>
      <c r="BA306" s="73" t="s">
        <v>3734</v>
      </c>
      <c r="BB306" s="69">
        <v>45755.0</v>
      </c>
      <c r="BC306" s="52" t="s">
        <v>1291</v>
      </c>
      <c r="BD306" s="52">
        <v>5.2424455E7</v>
      </c>
      <c r="BE306" s="52" t="s">
        <v>3620</v>
      </c>
      <c r="BF306" s="52" t="s">
        <v>667</v>
      </c>
      <c r="BG306" s="52" t="s">
        <v>2041</v>
      </c>
      <c r="BH306" s="52" t="s">
        <v>1307</v>
      </c>
    </row>
    <row r="307">
      <c r="B307" s="52" t="s">
        <v>3475</v>
      </c>
    </row>
    <row r="308">
      <c r="A308" s="52">
        <v>271.0</v>
      </c>
      <c r="B308" s="52" t="s">
        <v>1294</v>
      </c>
      <c r="C308" s="52" t="s">
        <v>2307</v>
      </c>
      <c r="D308" s="52" t="s">
        <v>3735</v>
      </c>
      <c r="E308" s="52" t="s">
        <v>1908</v>
      </c>
      <c r="F308" s="69">
        <v>45758.0</v>
      </c>
      <c r="G308" s="52" t="s">
        <v>3736</v>
      </c>
      <c r="H308" s="52" t="s">
        <v>2028</v>
      </c>
      <c r="I308" s="52" t="s">
        <v>2028</v>
      </c>
      <c r="J308" s="52" t="s">
        <v>1470</v>
      </c>
      <c r="K308" s="52" t="s">
        <v>2029</v>
      </c>
      <c r="N308" s="52" t="s">
        <v>2010</v>
      </c>
      <c r="O308" s="69">
        <v>45754.0</v>
      </c>
      <c r="P308" s="52">
        <v>2.0251110023803E13</v>
      </c>
      <c r="Q308" s="52" t="s">
        <v>2029</v>
      </c>
      <c r="R308" s="69">
        <v>45754.0</v>
      </c>
      <c r="S308" s="52" t="s">
        <v>3737</v>
      </c>
      <c r="T308" s="52" t="s">
        <v>2013</v>
      </c>
      <c r="U308" s="52" t="s">
        <v>3738</v>
      </c>
      <c r="V308" s="52" t="s">
        <v>581</v>
      </c>
      <c r="W308" s="52" t="s">
        <v>1555</v>
      </c>
      <c r="X308" s="52" t="s">
        <v>1293</v>
      </c>
      <c r="Y308" s="52" t="s">
        <v>1295</v>
      </c>
      <c r="AA308" s="52" t="s">
        <v>39</v>
      </c>
      <c r="AB308" s="52" t="s">
        <v>39</v>
      </c>
      <c r="AC308" s="52" t="s">
        <v>39</v>
      </c>
      <c r="AE308" s="52" t="s">
        <v>39</v>
      </c>
      <c r="AG308" s="52">
        <v>126.0</v>
      </c>
      <c r="AH308" s="52" t="s">
        <v>39</v>
      </c>
      <c r="AI308" s="52" t="s">
        <v>3739</v>
      </c>
      <c r="AJ308" s="52" t="s">
        <v>3740</v>
      </c>
      <c r="AK308" s="52" t="s">
        <v>2022</v>
      </c>
      <c r="AL308" s="52">
        <v>8939784.0</v>
      </c>
      <c r="AP308" s="52">
        <v>29125.0</v>
      </c>
      <c r="AQ308" s="52">
        <v>34925.0</v>
      </c>
      <c r="AR308" s="52" t="s">
        <v>1925</v>
      </c>
      <c r="AS308" s="52" t="s">
        <v>1879</v>
      </c>
      <c r="AT308" s="52" t="s">
        <v>1879</v>
      </c>
      <c r="AU308" s="69">
        <v>45761.0</v>
      </c>
      <c r="AV308" s="70">
        <v>46006.0</v>
      </c>
      <c r="AX308" s="52" t="s">
        <v>587</v>
      </c>
      <c r="AY308" s="52">
        <v>245.0</v>
      </c>
      <c r="AZ308" s="52" t="s">
        <v>39</v>
      </c>
      <c r="BA308" s="73" t="s">
        <v>3741</v>
      </c>
      <c r="BB308" s="69">
        <v>45761.0</v>
      </c>
      <c r="BC308" s="52" t="s">
        <v>3742</v>
      </c>
      <c r="BD308" s="52">
        <v>5.2985556E7</v>
      </c>
      <c r="BE308" s="52" t="s">
        <v>2176</v>
      </c>
      <c r="BF308" s="52" t="s">
        <v>369</v>
      </c>
      <c r="BG308" s="52" t="s">
        <v>2041</v>
      </c>
      <c r="BH308" s="52" t="s">
        <v>1319</v>
      </c>
      <c r="BI308" s="52" t="s">
        <v>3475</v>
      </c>
    </row>
    <row r="309">
      <c r="A309" s="52">
        <v>272.0</v>
      </c>
      <c r="B309" s="52" t="s">
        <v>1300</v>
      </c>
      <c r="C309" s="52" t="s">
        <v>2005</v>
      </c>
      <c r="D309" s="52">
        <v>3.6283216E7</v>
      </c>
      <c r="E309" s="52" t="s">
        <v>1908</v>
      </c>
      <c r="F309" s="69">
        <v>45756.0</v>
      </c>
      <c r="G309" s="52" t="s">
        <v>1302</v>
      </c>
      <c r="H309" s="52" t="s">
        <v>3743</v>
      </c>
      <c r="I309" s="52" t="s">
        <v>3743</v>
      </c>
      <c r="J309" s="52" t="s">
        <v>1478</v>
      </c>
      <c r="K309" s="52" t="s">
        <v>2213</v>
      </c>
      <c r="L309" s="52" t="s">
        <v>2010</v>
      </c>
      <c r="N309" s="52" t="s">
        <v>2010</v>
      </c>
      <c r="O309" s="69">
        <v>45756.0</v>
      </c>
      <c r="P309" s="52">
        <v>2.0251020024553E13</v>
      </c>
      <c r="Q309" s="52" t="s">
        <v>3729</v>
      </c>
      <c r="R309" s="69">
        <v>45756.0</v>
      </c>
      <c r="S309" s="52" t="s">
        <v>3744</v>
      </c>
      <c r="T309" s="52" t="s">
        <v>2013</v>
      </c>
      <c r="U309" s="52" t="s">
        <v>3745</v>
      </c>
      <c r="V309" s="52" t="s">
        <v>581</v>
      </c>
      <c r="W309" s="52" t="s">
        <v>1471</v>
      </c>
      <c r="X309" s="52" t="s">
        <v>583</v>
      </c>
      <c r="Y309" s="52" t="s">
        <v>1301</v>
      </c>
      <c r="Z309" s="52" t="s">
        <v>2015</v>
      </c>
      <c r="AA309" s="52" t="s">
        <v>2016</v>
      </c>
      <c r="AB309" s="52" t="s">
        <v>2032</v>
      </c>
      <c r="AC309" s="52" t="s">
        <v>2033</v>
      </c>
      <c r="AE309" s="52" t="s">
        <v>2093</v>
      </c>
      <c r="AG309" s="52">
        <v>126.0</v>
      </c>
      <c r="AH309" s="52" t="s">
        <v>1479</v>
      </c>
      <c r="AI309" s="52" t="s">
        <v>3746</v>
      </c>
      <c r="AJ309" s="52" t="s">
        <v>3747</v>
      </c>
      <c r="AK309" s="52" t="s">
        <v>2022</v>
      </c>
      <c r="AL309" s="52">
        <v>7.4233333E7</v>
      </c>
      <c r="AP309" s="52">
        <v>31925.0</v>
      </c>
      <c r="AQ309" s="52">
        <v>34125.0</v>
      </c>
      <c r="AR309" s="52" t="s">
        <v>53</v>
      </c>
      <c r="AS309" s="69">
        <v>45757.0</v>
      </c>
      <c r="AT309" s="70">
        <v>46022.0</v>
      </c>
      <c r="AU309" s="69">
        <v>45757.0</v>
      </c>
      <c r="AV309" s="70">
        <v>46022.0</v>
      </c>
      <c r="AX309" s="52" t="s">
        <v>587</v>
      </c>
      <c r="AY309" s="52">
        <v>265.0</v>
      </c>
      <c r="AZ309" s="52" t="s">
        <v>39</v>
      </c>
      <c r="BA309" s="73" t="s">
        <v>3748</v>
      </c>
      <c r="BB309" s="69">
        <v>45757.0</v>
      </c>
      <c r="BC309" s="52" t="s">
        <v>257</v>
      </c>
      <c r="BD309" s="52">
        <v>5.298137E7</v>
      </c>
      <c r="BE309" s="52" t="s">
        <v>2298</v>
      </c>
      <c r="BF309" s="52" t="s">
        <v>258</v>
      </c>
      <c r="BG309" s="52" t="s">
        <v>2041</v>
      </c>
      <c r="BH309" s="52" t="s">
        <v>1324</v>
      </c>
      <c r="BI309" s="52" t="s">
        <v>3475</v>
      </c>
    </row>
    <row r="310">
      <c r="A310" s="52">
        <v>273.0</v>
      </c>
      <c r="B310" s="52" t="s">
        <v>1304</v>
      </c>
      <c r="C310" s="52" t="s">
        <v>2005</v>
      </c>
      <c r="D310" s="52">
        <v>1.125639792E9</v>
      </c>
      <c r="E310" s="52" t="s">
        <v>1908</v>
      </c>
      <c r="F310" s="69">
        <v>45758.0</v>
      </c>
      <c r="G310" s="52" t="s">
        <v>1306</v>
      </c>
      <c r="H310" s="52" t="s">
        <v>3743</v>
      </c>
      <c r="I310" s="52" t="s">
        <v>3743</v>
      </c>
      <c r="J310" s="52" t="s">
        <v>1478</v>
      </c>
      <c r="K310" s="52" t="s">
        <v>2515</v>
      </c>
      <c r="L310" s="52" t="s">
        <v>2010</v>
      </c>
      <c r="O310" s="69">
        <v>45756.0</v>
      </c>
      <c r="P310" s="52">
        <v>2.0251020024573E13</v>
      </c>
      <c r="Q310" s="52" t="s">
        <v>3729</v>
      </c>
      <c r="R310" s="69">
        <v>45756.0</v>
      </c>
      <c r="S310" s="52" t="s">
        <v>3749</v>
      </c>
      <c r="T310" s="52" t="s">
        <v>2013</v>
      </c>
      <c r="U310" s="52" t="s">
        <v>3750</v>
      </c>
      <c r="V310" s="52" t="s">
        <v>581</v>
      </c>
      <c r="W310" s="52" t="s">
        <v>1471</v>
      </c>
      <c r="X310" s="52" t="s">
        <v>583</v>
      </c>
      <c r="Y310" s="52" t="s">
        <v>1305</v>
      </c>
      <c r="Z310" s="52" t="s">
        <v>2015</v>
      </c>
      <c r="AA310" s="52" t="s">
        <v>2016</v>
      </c>
      <c r="AB310" s="52" t="s">
        <v>2032</v>
      </c>
      <c r="AC310" s="52" t="s">
        <v>2114</v>
      </c>
      <c r="AE310" s="52" t="s">
        <v>2093</v>
      </c>
      <c r="AG310" s="52">
        <v>126.0</v>
      </c>
      <c r="AH310" s="52" t="s">
        <v>1479</v>
      </c>
      <c r="AI310" s="52" t="s">
        <v>3751</v>
      </c>
      <c r="AJ310" s="52" t="s">
        <v>3752</v>
      </c>
      <c r="AK310" s="52" t="s">
        <v>2022</v>
      </c>
      <c r="AL310" s="52">
        <v>8.2333333E7</v>
      </c>
      <c r="AP310" s="52">
        <v>31825.0</v>
      </c>
      <c r="AQ310" s="52">
        <v>34725.0</v>
      </c>
      <c r="AR310" s="52" t="s">
        <v>53</v>
      </c>
      <c r="AS310" s="69">
        <v>45762.0</v>
      </c>
      <c r="AT310" s="70">
        <v>46022.0</v>
      </c>
      <c r="AU310" s="69">
        <v>45762.0</v>
      </c>
      <c r="AV310" s="70">
        <v>46022.0</v>
      </c>
      <c r="AX310" s="52" t="s">
        <v>587</v>
      </c>
      <c r="AY310" s="52">
        <v>260.0</v>
      </c>
      <c r="AZ310" s="52" t="s">
        <v>39</v>
      </c>
      <c r="BA310" s="73" t="s">
        <v>3753</v>
      </c>
      <c r="BB310" s="69">
        <v>45761.0</v>
      </c>
      <c r="BC310" s="52" t="s">
        <v>257</v>
      </c>
      <c r="BD310" s="52">
        <v>5.298137E7</v>
      </c>
      <c r="BE310" s="52" t="s">
        <v>2298</v>
      </c>
      <c r="BF310" s="52" t="s">
        <v>258</v>
      </c>
      <c r="BG310" s="52" t="s">
        <v>2041</v>
      </c>
      <c r="BH310" s="52" t="s">
        <v>1328</v>
      </c>
      <c r="BI310" s="52" t="s">
        <v>3475</v>
      </c>
    </row>
    <row r="311">
      <c r="A311" s="52">
        <v>274.0</v>
      </c>
      <c r="B311" s="52" t="s">
        <v>1308</v>
      </c>
      <c r="C311" s="52" t="s">
        <v>2307</v>
      </c>
      <c r="D311" s="52" t="s">
        <v>1311</v>
      </c>
      <c r="E311" s="52" t="s">
        <v>1908</v>
      </c>
      <c r="F311" s="69">
        <v>45763.0</v>
      </c>
      <c r="G311" s="52" t="s">
        <v>1310</v>
      </c>
      <c r="H311" s="52" t="s">
        <v>2088</v>
      </c>
      <c r="I311" s="52" t="s">
        <v>2088</v>
      </c>
      <c r="J311" s="52" t="s">
        <v>1478</v>
      </c>
      <c r="K311" s="52" t="s">
        <v>2213</v>
      </c>
      <c r="L311" s="52" t="s">
        <v>2010</v>
      </c>
      <c r="O311" s="69">
        <v>45762.0</v>
      </c>
      <c r="P311" s="52" t="s">
        <v>3754</v>
      </c>
      <c r="Q311" s="52" t="s">
        <v>3729</v>
      </c>
      <c r="R311" s="69">
        <v>45762.0</v>
      </c>
      <c r="S311" s="52" t="s">
        <v>3755</v>
      </c>
      <c r="T311" s="52" t="s">
        <v>2013</v>
      </c>
      <c r="U311" s="52" t="s">
        <v>3756</v>
      </c>
      <c r="V311" s="52" t="s">
        <v>581</v>
      </c>
      <c r="W311" s="52" t="s">
        <v>1555</v>
      </c>
      <c r="X311" s="52" t="s">
        <v>1030</v>
      </c>
      <c r="Y311" s="52" t="s">
        <v>1309</v>
      </c>
      <c r="AA311" s="52" t="s">
        <v>39</v>
      </c>
      <c r="AB311" s="52" t="s">
        <v>39</v>
      </c>
      <c r="AC311" s="52" t="s">
        <v>39</v>
      </c>
      <c r="AE311" s="52" t="s">
        <v>39</v>
      </c>
      <c r="AG311" s="52">
        <v>126.0</v>
      </c>
      <c r="AH311" s="52" t="s">
        <v>39</v>
      </c>
      <c r="AI311" s="52" t="s">
        <v>3757</v>
      </c>
      <c r="AJ311" s="52" t="s">
        <v>3757</v>
      </c>
      <c r="AK311" s="52" t="s">
        <v>2022</v>
      </c>
      <c r="AL311" s="52" t="s">
        <v>1700</v>
      </c>
      <c r="AP311" s="52">
        <v>28325.0</v>
      </c>
      <c r="AQ311" s="52">
        <v>35625.0</v>
      </c>
      <c r="AR311" s="52" t="s">
        <v>77</v>
      </c>
      <c r="AS311" s="52" t="s">
        <v>1879</v>
      </c>
      <c r="AT311" s="52" t="s">
        <v>1879</v>
      </c>
      <c r="AU311" s="69">
        <v>45771.0</v>
      </c>
      <c r="AV311" s="70">
        <v>45984.0</v>
      </c>
      <c r="AX311" s="52" t="s">
        <v>587</v>
      </c>
      <c r="AY311" s="52">
        <v>213.0</v>
      </c>
      <c r="AZ311" s="52" t="s">
        <v>39</v>
      </c>
      <c r="BA311" s="73" t="s">
        <v>3758</v>
      </c>
      <c r="BB311" s="69">
        <v>45771.0</v>
      </c>
      <c r="BC311" s="52" t="s">
        <v>2663</v>
      </c>
      <c r="BD311" s="52">
        <v>1.019090785E9</v>
      </c>
      <c r="BE311" s="52" t="s">
        <v>2120</v>
      </c>
      <c r="BF311" s="52" t="s">
        <v>537</v>
      </c>
      <c r="BG311" s="52" t="s">
        <v>2041</v>
      </c>
      <c r="BH311" s="52" t="s">
        <v>1335</v>
      </c>
      <c r="BI311" s="52" t="s">
        <v>3475</v>
      </c>
    </row>
    <row r="312">
      <c r="A312" s="52">
        <v>275.0</v>
      </c>
      <c r="B312" s="52" t="s">
        <v>1313</v>
      </c>
      <c r="C312" s="52" t="s">
        <v>2307</v>
      </c>
      <c r="D312" s="52" t="s">
        <v>3759</v>
      </c>
      <c r="E312" s="52" t="s">
        <v>3760</v>
      </c>
      <c r="F312" s="69">
        <v>45763.0</v>
      </c>
      <c r="G312" s="52" t="s">
        <v>1315</v>
      </c>
      <c r="H312" s="52" t="s">
        <v>2028</v>
      </c>
      <c r="I312" s="52" t="s">
        <v>3555</v>
      </c>
      <c r="J312" s="52" t="s">
        <v>1470</v>
      </c>
      <c r="K312" s="52" t="s">
        <v>2029</v>
      </c>
      <c r="O312" s="69">
        <v>45757.0</v>
      </c>
      <c r="P312" s="52">
        <v>2.0251110024943E13</v>
      </c>
      <c r="Q312" s="52" t="s">
        <v>2029</v>
      </c>
      <c r="R312" s="69">
        <v>45757.0</v>
      </c>
      <c r="S312" s="52" t="s">
        <v>3761</v>
      </c>
      <c r="T312" s="52" t="s">
        <v>2013</v>
      </c>
      <c r="U312" s="52" t="s">
        <v>3762</v>
      </c>
      <c r="V312" s="52" t="s">
        <v>581</v>
      </c>
      <c r="W312" s="52" t="s">
        <v>1555</v>
      </c>
      <c r="X312" s="52" t="s">
        <v>1312</v>
      </c>
      <c r="Y312" s="52" t="s">
        <v>1314</v>
      </c>
      <c r="AA312" s="52" t="s">
        <v>39</v>
      </c>
      <c r="AB312" s="52" t="s">
        <v>39</v>
      </c>
      <c r="AC312" s="52" t="s">
        <v>39</v>
      </c>
      <c r="AE312" s="52" t="s">
        <v>39</v>
      </c>
      <c r="AG312" s="52">
        <v>126.0</v>
      </c>
      <c r="AH312" s="52" t="s">
        <v>39</v>
      </c>
      <c r="AI312" s="52" t="s">
        <v>3763</v>
      </c>
      <c r="AJ312" s="52" t="s">
        <v>3763</v>
      </c>
      <c r="AK312" s="52" t="s">
        <v>2022</v>
      </c>
      <c r="AL312" s="52" t="s">
        <v>1930</v>
      </c>
      <c r="AP312" s="52">
        <v>30725.0</v>
      </c>
      <c r="AQ312" s="52">
        <v>35925.0</v>
      </c>
      <c r="AR312" s="52" t="s">
        <v>1317</v>
      </c>
      <c r="AS312" s="52" t="s">
        <v>39</v>
      </c>
      <c r="AT312" s="52" t="s">
        <v>39</v>
      </c>
      <c r="AU312" s="69">
        <v>45771.0</v>
      </c>
      <c r="AV312" s="69">
        <v>45861.0</v>
      </c>
      <c r="AX312" s="52" t="s">
        <v>587</v>
      </c>
      <c r="AY312" s="52">
        <v>90.0</v>
      </c>
      <c r="AZ312" s="52" t="s">
        <v>39</v>
      </c>
      <c r="BA312" s="73" t="s">
        <v>3764</v>
      </c>
      <c r="BC312" s="52" t="s">
        <v>3765</v>
      </c>
      <c r="BD312" s="52">
        <v>1.010192885E9</v>
      </c>
      <c r="BE312" s="52" t="s">
        <v>3766</v>
      </c>
      <c r="BF312" s="52" t="s">
        <v>3767</v>
      </c>
      <c r="BG312" s="52" t="s">
        <v>2041</v>
      </c>
      <c r="BH312" s="52" t="s">
        <v>1339</v>
      </c>
      <c r="BI312" s="52" t="s">
        <v>3475</v>
      </c>
    </row>
    <row r="313">
      <c r="A313" s="52">
        <v>276.0</v>
      </c>
      <c r="B313" s="52" t="s">
        <v>1320</v>
      </c>
      <c r="C313" s="52" t="s">
        <v>2005</v>
      </c>
      <c r="D313" s="52">
        <v>1.000603646E9</v>
      </c>
      <c r="E313" s="52" t="s">
        <v>1908</v>
      </c>
      <c r="F313" s="69">
        <v>45762.0</v>
      </c>
      <c r="G313" s="52" t="s">
        <v>1322</v>
      </c>
      <c r="H313" s="52" t="s">
        <v>3768</v>
      </c>
      <c r="I313" s="52" t="s">
        <v>3768</v>
      </c>
      <c r="J313" s="52" t="s">
        <v>1478</v>
      </c>
      <c r="K313" s="52" t="s">
        <v>2213</v>
      </c>
      <c r="O313" s="69">
        <v>45757.0</v>
      </c>
      <c r="P313" s="52">
        <v>2.0251900025053E13</v>
      </c>
      <c r="Q313" s="52" t="s">
        <v>3729</v>
      </c>
      <c r="R313" s="69">
        <v>45757.0</v>
      </c>
      <c r="S313" s="52" t="s">
        <v>3769</v>
      </c>
      <c r="T313" s="52" t="s">
        <v>2013</v>
      </c>
      <c r="U313" s="52" t="s">
        <v>3474</v>
      </c>
      <c r="V313" s="52" t="s">
        <v>581</v>
      </c>
      <c r="W313" s="52" t="s">
        <v>1471</v>
      </c>
      <c r="X313" s="52" t="s">
        <v>1030</v>
      </c>
      <c r="Y313" s="52" t="s">
        <v>1321</v>
      </c>
      <c r="Z313" s="52" t="s">
        <v>2081</v>
      </c>
      <c r="AA313" s="52" t="s">
        <v>3770</v>
      </c>
      <c r="AB313" s="52" t="s">
        <v>2017</v>
      </c>
      <c r="AC313" s="52" t="s">
        <v>2018</v>
      </c>
      <c r="AE313" s="52" t="s">
        <v>2093</v>
      </c>
      <c r="AG313" s="52">
        <v>126.0</v>
      </c>
      <c r="AH313" s="52" t="s">
        <v>1689</v>
      </c>
      <c r="AI313" s="52" t="s">
        <v>3771</v>
      </c>
      <c r="AJ313" s="52" t="s">
        <v>3771</v>
      </c>
      <c r="AK313" s="52" t="s">
        <v>2022</v>
      </c>
      <c r="AL313" s="52" t="s">
        <v>1932</v>
      </c>
      <c r="AP313" s="52">
        <v>32425.0</v>
      </c>
      <c r="AQ313" s="52">
        <v>35825.0</v>
      </c>
      <c r="AR313" s="52" t="s">
        <v>67</v>
      </c>
      <c r="AS313" s="52" t="s">
        <v>39</v>
      </c>
      <c r="AT313" s="52" t="s">
        <v>39</v>
      </c>
      <c r="AU313" s="69">
        <v>45769.0</v>
      </c>
      <c r="AV313" s="70">
        <v>46022.0</v>
      </c>
      <c r="AX313" s="52" t="s">
        <v>587</v>
      </c>
      <c r="AY313" s="52">
        <v>253.0</v>
      </c>
      <c r="AZ313" s="52" t="s">
        <v>39</v>
      </c>
      <c r="BA313" s="73" t="s">
        <v>3772</v>
      </c>
      <c r="BC313" s="52" t="s">
        <v>779</v>
      </c>
      <c r="BD313" s="52">
        <v>7.9065076E7</v>
      </c>
      <c r="BE313" s="52" t="s">
        <v>3010</v>
      </c>
      <c r="BF313" s="52" t="s">
        <v>223</v>
      </c>
      <c r="BG313" s="52" t="s">
        <v>2041</v>
      </c>
      <c r="BH313" s="52" t="s">
        <v>1345</v>
      </c>
      <c r="BI313" s="52" t="s">
        <v>3475</v>
      </c>
    </row>
    <row r="314">
      <c r="A314" s="52">
        <v>277.0</v>
      </c>
      <c r="B314" s="52" t="s">
        <v>1325</v>
      </c>
      <c r="C314" s="52" t="s">
        <v>2005</v>
      </c>
      <c r="D314" s="52">
        <v>1.193447899E9</v>
      </c>
      <c r="E314" s="52" t="s">
        <v>1908</v>
      </c>
      <c r="F314" s="69">
        <v>45762.0</v>
      </c>
      <c r="G314" s="52" t="s">
        <v>1327</v>
      </c>
      <c r="H314" s="52" t="s">
        <v>2008</v>
      </c>
      <c r="I314" s="52" t="s">
        <v>2008</v>
      </c>
      <c r="J314" s="52" t="s">
        <v>1470</v>
      </c>
      <c r="K314" s="52" t="s">
        <v>2612</v>
      </c>
      <c r="L314" s="52" t="s">
        <v>2010</v>
      </c>
      <c r="N314" s="52" t="s">
        <v>2010</v>
      </c>
      <c r="O314" s="69">
        <v>45758.0</v>
      </c>
      <c r="P314" s="52">
        <v>2.0251610025343E13</v>
      </c>
      <c r="Q314" s="52" t="s">
        <v>2612</v>
      </c>
      <c r="R314" s="69">
        <v>45758.0</v>
      </c>
      <c r="S314" s="52" t="s">
        <v>3773</v>
      </c>
      <c r="T314" s="52" t="s">
        <v>2013</v>
      </c>
      <c r="U314" s="52" t="s">
        <v>3774</v>
      </c>
      <c r="V314" s="52" t="s">
        <v>581</v>
      </c>
      <c r="W314" s="52" t="s">
        <v>1471</v>
      </c>
      <c r="X314" s="52" t="s">
        <v>583</v>
      </c>
      <c r="Y314" s="52" t="s">
        <v>1326</v>
      </c>
      <c r="Z314" s="52" t="s">
        <v>2081</v>
      </c>
      <c r="AA314" s="52" t="s">
        <v>2016</v>
      </c>
      <c r="AB314" s="52" t="s">
        <v>2062</v>
      </c>
      <c r="AC314" s="52" t="s">
        <v>2054</v>
      </c>
      <c r="AE314" s="52" t="s">
        <v>2841</v>
      </c>
      <c r="AG314" s="52">
        <v>126.0</v>
      </c>
      <c r="AH314" s="52" t="s">
        <v>1526</v>
      </c>
      <c r="AI314" s="52" t="s">
        <v>2244</v>
      </c>
      <c r="AJ314" s="52" t="s">
        <v>3775</v>
      </c>
      <c r="AK314" s="52" t="s">
        <v>2022</v>
      </c>
      <c r="AL314" s="52" t="s">
        <v>1933</v>
      </c>
      <c r="AP314" s="52">
        <v>31425.0</v>
      </c>
      <c r="AQ314" s="52">
        <v>35725.0</v>
      </c>
      <c r="AR314" s="52" t="s">
        <v>91</v>
      </c>
      <c r="AS314" s="69">
        <v>45667.0</v>
      </c>
      <c r="AT314" s="70">
        <v>46022.0</v>
      </c>
      <c r="AU314" s="69">
        <v>45768.0</v>
      </c>
      <c r="AV314" s="70">
        <v>46022.0</v>
      </c>
      <c r="AX314" s="52" t="s">
        <v>587</v>
      </c>
      <c r="AY314" s="52">
        <v>254.0</v>
      </c>
      <c r="AZ314" s="52" t="s">
        <v>39</v>
      </c>
      <c r="BA314" s="73" t="s">
        <v>3776</v>
      </c>
      <c r="BC314" s="52" t="s">
        <v>217</v>
      </c>
      <c r="BD314" s="52">
        <v>7.1338113E7</v>
      </c>
      <c r="BE314" s="52" t="s">
        <v>2248</v>
      </c>
      <c r="BF314" s="52" t="s">
        <v>165</v>
      </c>
      <c r="BG314" s="52" t="s">
        <v>2041</v>
      </c>
      <c r="BH314" s="52" t="s">
        <v>1351</v>
      </c>
      <c r="BI314" s="52" t="s">
        <v>3475</v>
      </c>
    </row>
    <row r="315">
      <c r="A315" s="52">
        <v>278.0</v>
      </c>
      <c r="B315" s="52" t="s">
        <v>1934</v>
      </c>
      <c r="C315" s="52" t="s">
        <v>2307</v>
      </c>
      <c r="D315" s="52" t="s">
        <v>3777</v>
      </c>
      <c r="E315" s="52" t="s">
        <v>1908</v>
      </c>
      <c r="F315" s="69">
        <v>45759.0</v>
      </c>
      <c r="G315" s="52" t="s">
        <v>1331</v>
      </c>
      <c r="H315" s="52" t="s">
        <v>3768</v>
      </c>
      <c r="I315" s="52" t="s">
        <v>3768</v>
      </c>
      <c r="J315" s="52" t="s">
        <v>1908</v>
      </c>
      <c r="K315" s="52" t="s">
        <v>2069</v>
      </c>
      <c r="O315" s="69">
        <v>45758.0</v>
      </c>
      <c r="P315" s="52">
        <v>2.0251900025283E13</v>
      </c>
      <c r="Q315" s="52" t="s">
        <v>2069</v>
      </c>
      <c r="R315" s="69">
        <v>45758.0</v>
      </c>
      <c r="S315" s="52" t="s">
        <v>3778</v>
      </c>
      <c r="T315" s="52" t="s">
        <v>2013</v>
      </c>
      <c r="U315" s="52" t="s">
        <v>1908</v>
      </c>
      <c r="V315" s="52" t="s">
        <v>1133</v>
      </c>
      <c r="W315" s="52" t="s">
        <v>1555</v>
      </c>
      <c r="X315" s="52" t="s">
        <v>1133</v>
      </c>
      <c r="Y315" s="52" t="s">
        <v>1330</v>
      </c>
      <c r="AA315" s="52" t="s">
        <v>39</v>
      </c>
      <c r="AB315" s="52" t="s">
        <v>39</v>
      </c>
      <c r="AC315" s="52" t="s">
        <v>39</v>
      </c>
      <c r="AE315" s="52" t="s">
        <v>39</v>
      </c>
      <c r="AG315" s="52">
        <v>126.0</v>
      </c>
      <c r="AH315" s="52" t="s">
        <v>39</v>
      </c>
      <c r="AI315" s="52" t="s">
        <v>3779</v>
      </c>
      <c r="AJ315" s="52" t="s">
        <v>3780</v>
      </c>
      <c r="AK315" s="52" t="s">
        <v>1879</v>
      </c>
      <c r="AL315" s="52" t="s">
        <v>587</v>
      </c>
      <c r="AP315" s="52" t="s">
        <v>39</v>
      </c>
      <c r="AQ315" s="52" t="s">
        <v>587</v>
      </c>
      <c r="AR315" s="52" t="s">
        <v>587</v>
      </c>
      <c r="AS315" s="52" t="s">
        <v>587</v>
      </c>
      <c r="AT315" s="52" t="s">
        <v>587</v>
      </c>
      <c r="AU315" s="69">
        <v>45759.0</v>
      </c>
      <c r="AV315" s="69">
        <v>46854.0</v>
      </c>
      <c r="AX315" s="52" t="s">
        <v>587</v>
      </c>
      <c r="AY315" s="71">
        <v>1095.0</v>
      </c>
      <c r="AZ315" s="52" t="s">
        <v>39</v>
      </c>
      <c r="BA315" s="73" t="s">
        <v>3781</v>
      </c>
      <c r="BC315" s="52" t="s">
        <v>433</v>
      </c>
      <c r="BE315" s="52" t="s">
        <v>2528</v>
      </c>
      <c r="BF315" s="52" t="s">
        <v>223</v>
      </c>
      <c r="BG315" s="52" t="s">
        <v>2041</v>
      </c>
      <c r="BH315" s="52" t="s">
        <v>3782</v>
      </c>
      <c r="BI315" s="52" t="s">
        <v>1879</v>
      </c>
    </row>
    <row r="316">
      <c r="A316" s="52">
        <v>279.0</v>
      </c>
      <c r="B316" s="52" t="s">
        <v>1336</v>
      </c>
      <c r="C316" s="52" t="s">
        <v>2005</v>
      </c>
      <c r="D316" s="52">
        <v>5.3054857E7</v>
      </c>
      <c r="E316" s="52" t="s">
        <v>1908</v>
      </c>
      <c r="F316" s="69">
        <v>45762.0</v>
      </c>
      <c r="G316" s="52" t="s">
        <v>1338</v>
      </c>
      <c r="H316" s="52" t="s">
        <v>2088</v>
      </c>
      <c r="I316" s="52" t="s">
        <v>2088</v>
      </c>
      <c r="J316" s="52" t="s">
        <v>1478</v>
      </c>
      <c r="K316" s="52" t="s">
        <v>2612</v>
      </c>
      <c r="L316" s="52" t="s">
        <v>2010</v>
      </c>
      <c r="N316" s="52" t="s">
        <v>2010</v>
      </c>
      <c r="O316" s="69">
        <v>45756.0</v>
      </c>
      <c r="P316" s="52">
        <v>2.0251020024823E13</v>
      </c>
      <c r="Q316" s="52" t="s">
        <v>2612</v>
      </c>
      <c r="R316" s="69">
        <v>45761.0</v>
      </c>
      <c r="S316" s="52" t="s">
        <v>3783</v>
      </c>
      <c r="T316" s="52" t="s">
        <v>2013</v>
      </c>
      <c r="U316" s="52" t="s">
        <v>3784</v>
      </c>
      <c r="V316" s="52" t="s">
        <v>581</v>
      </c>
      <c r="W316" s="52" t="s">
        <v>1471</v>
      </c>
      <c r="X316" s="52" t="s">
        <v>583</v>
      </c>
      <c r="Y316" s="52" t="s">
        <v>1337</v>
      </c>
      <c r="Z316" s="52" t="s">
        <v>2015</v>
      </c>
      <c r="AA316" s="52" t="s">
        <v>2016</v>
      </c>
      <c r="AB316" s="52" t="s">
        <v>2062</v>
      </c>
      <c r="AC316" s="52" t="s">
        <v>2018</v>
      </c>
      <c r="AE316" s="52" t="s">
        <v>2019</v>
      </c>
      <c r="AG316" s="52">
        <v>126.0</v>
      </c>
      <c r="AH316" s="52" t="s">
        <v>1479</v>
      </c>
      <c r="AI316" s="52" t="s">
        <v>3785</v>
      </c>
      <c r="AJ316" s="52" t="s">
        <v>3786</v>
      </c>
      <c r="AK316" s="52" t="s">
        <v>2022</v>
      </c>
      <c r="AL316" s="52">
        <v>4.8E7</v>
      </c>
      <c r="AP316" s="52">
        <v>15825.0</v>
      </c>
      <c r="AQ316" s="52">
        <v>35225.0</v>
      </c>
      <c r="AR316" s="52" t="s">
        <v>77</v>
      </c>
      <c r="AS316" s="69">
        <v>45763.0</v>
      </c>
      <c r="AT316" s="70">
        <v>45947.0</v>
      </c>
      <c r="AU316" s="69">
        <v>45763.0</v>
      </c>
      <c r="AV316" s="70">
        <v>45945.0</v>
      </c>
      <c r="AX316" s="52" t="s">
        <v>587</v>
      </c>
      <c r="AY316" s="52">
        <v>182.0</v>
      </c>
      <c r="AZ316" s="52" t="s">
        <v>39</v>
      </c>
      <c r="BA316" s="73" t="s">
        <v>3787</v>
      </c>
      <c r="BC316" s="52" t="s">
        <v>257</v>
      </c>
      <c r="BD316" s="52">
        <v>5.298137E7</v>
      </c>
      <c r="BE316" s="52" t="s">
        <v>2298</v>
      </c>
      <c r="BF316" s="52" t="s">
        <v>258</v>
      </c>
      <c r="BG316" s="52" t="s">
        <v>2041</v>
      </c>
      <c r="BH316" s="52" t="s">
        <v>3788</v>
      </c>
      <c r="BI316" s="52" t="s">
        <v>3475</v>
      </c>
    </row>
    <row r="317">
      <c r="A317" s="52">
        <v>280.0</v>
      </c>
      <c r="B317" s="52" t="s">
        <v>1341</v>
      </c>
      <c r="C317" s="52" t="s">
        <v>2005</v>
      </c>
      <c r="D317" s="52">
        <v>1.010192885E9</v>
      </c>
      <c r="E317" s="52" t="s">
        <v>1908</v>
      </c>
      <c r="F317" s="69">
        <v>45763.0</v>
      </c>
      <c r="G317" s="52" t="s">
        <v>3789</v>
      </c>
      <c r="H317" s="52" t="s">
        <v>2028</v>
      </c>
      <c r="I317" s="52" t="s">
        <v>2028</v>
      </c>
      <c r="J317" s="52" t="s">
        <v>1470</v>
      </c>
      <c r="K317" s="52" t="s">
        <v>2029</v>
      </c>
      <c r="L317" s="52" t="s">
        <v>2010</v>
      </c>
      <c r="O317" s="69">
        <v>45758.0</v>
      </c>
      <c r="P317" s="52">
        <v>2.0251110025263E13</v>
      </c>
      <c r="Q317" s="52" t="s">
        <v>2029</v>
      </c>
      <c r="R317" s="69">
        <v>45758.0</v>
      </c>
      <c r="S317" s="52" t="s">
        <v>3790</v>
      </c>
      <c r="T317" s="52" t="s">
        <v>2013</v>
      </c>
      <c r="U317" s="52" t="s">
        <v>3791</v>
      </c>
      <c r="V317" s="52" t="s">
        <v>581</v>
      </c>
      <c r="W317" s="52" t="s">
        <v>1471</v>
      </c>
      <c r="X317" s="52" t="s">
        <v>1340</v>
      </c>
      <c r="Y317" s="52" t="s">
        <v>1342</v>
      </c>
      <c r="Z317" s="52" t="s">
        <v>2081</v>
      </c>
      <c r="AA317" s="52" t="s">
        <v>2054</v>
      </c>
      <c r="AB317" s="52" t="s">
        <v>2062</v>
      </c>
      <c r="AC317" s="52" t="s">
        <v>2018</v>
      </c>
      <c r="AE317" s="52" t="s">
        <v>2019</v>
      </c>
      <c r="AG317" s="52">
        <v>126.0</v>
      </c>
      <c r="AH317" s="52" t="s">
        <v>1937</v>
      </c>
      <c r="AI317" s="52" t="s">
        <v>3792</v>
      </c>
    </row>
    <row r="318">
      <c r="B318" s="52" t="s">
        <v>3766</v>
      </c>
      <c r="C318" s="52" t="s">
        <v>2022</v>
      </c>
      <c r="D318" s="52" t="s">
        <v>1938</v>
      </c>
      <c r="H318" s="52">
        <v>25725.0</v>
      </c>
      <c r="I318" s="52">
        <v>36025.0</v>
      </c>
      <c r="J318" s="52" t="s">
        <v>145</v>
      </c>
      <c r="K318" s="69">
        <v>45764.0</v>
      </c>
      <c r="L318" s="69">
        <v>45859.0</v>
      </c>
      <c r="M318" s="69">
        <v>45769.0</v>
      </c>
      <c r="N318" s="69">
        <v>45859.0</v>
      </c>
      <c r="P318" s="52" t="s">
        <v>587</v>
      </c>
      <c r="Q318" s="52">
        <v>90.0</v>
      </c>
      <c r="R318" s="52" t="s">
        <v>39</v>
      </c>
      <c r="S318" s="73" t="s">
        <v>3793</v>
      </c>
      <c r="U318" s="52" t="s">
        <v>524</v>
      </c>
      <c r="V318" s="52">
        <v>1.01603403E9</v>
      </c>
      <c r="W318" s="52" t="s">
        <v>2648</v>
      </c>
      <c r="Y318" s="52" t="s">
        <v>2041</v>
      </c>
      <c r="Z318" s="52" t="s">
        <v>3794</v>
      </c>
      <c r="AA318" s="52" t="s">
        <v>3475</v>
      </c>
    </row>
    <row r="319">
      <c r="A319" s="52">
        <v>281.0</v>
      </c>
      <c r="B319" s="52" t="s">
        <v>1346</v>
      </c>
      <c r="C319" s="52" t="s">
        <v>2323</v>
      </c>
      <c r="D319" s="52">
        <v>8.45857E8</v>
      </c>
      <c r="E319" s="52" t="s">
        <v>3795</v>
      </c>
      <c r="F319" s="69">
        <v>45763.0</v>
      </c>
      <c r="G319" s="52" t="s">
        <v>1348</v>
      </c>
      <c r="H319" s="52" t="s">
        <v>3796</v>
      </c>
      <c r="I319" s="52" t="s">
        <v>3796</v>
      </c>
      <c r="J319" s="52" t="s">
        <v>1478</v>
      </c>
      <c r="K319" s="52" t="s">
        <v>2213</v>
      </c>
      <c r="O319" s="69">
        <v>45762.0</v>
      </c>
      <c r="P319" s="52" t="s">
        <v>3797</v>
      </c>
      <c r="Q319" s="52" t="s">
        <v>3729</v>
      </c>
      <c r="R319" s="69">
        <v>45762.0</v>
      </c>
      <c r="S319" s="52" t="s">
        <v>3798</v>
      </c>
      <c r="T319" s="52" t="s">
        <v>2013</v>
      </c>
      <c r="U319" s="52" t="s">
        <v>3799</v>
      </c>
      <c r="V319" s="52" t="s">
        <v>581</v>
      </c>
      <c r="W319" s="52" t="s">
        <v>1555</v>
      </c>
      <c r="X319" s="52" t="s">
        <v>81</v>
      </c>
      <c r="Y319" s="52" t="s">
        <v>1347</v>
      </c>
      <c r="AA319" s="52" t="s">
        <v>39</v>
      </c>
      <c r="AB319" s="52" t="s">
        <v>39</v>
      </c>
      <c r="AC319" s="52" t="s">
        <v>39</v>
      </c>
      <c r="AE319" s="52" t="s">
        <v>39</v>
      </c>
      <c r="AG319" s="52">
        <v>126.0</v>
      </c>
      <c r="AH319" s="52" t="s">
        <v>39</v>
      </c>
      <c r="AI319" s="52" t="s">
        <v>3800</v>
      </c>
      <c r="AJ319" s="52" t="s">
        <v>3800</v>
      </c>
      <c r="AK319" s="52" t="s">
        <v>3610</v>
      </c>
      <c r="AL319" s="52">
        <v>6.88481282E8</v>
      </c>
      <c r="AP319" s="52">
        <v>31025.0</v>
      </c>
      <c r="AQ319" s="52">
        <v>35525.0</v>
      </c>
      <c r="AR319" s="52" t="s">
        <v>53</v>
      </c>
      <c r="AS319" s="52" t="s">
        <v>39</v>
      </c>
      <c r="AT319" s="52" t="s">
        <v>39</v>
      </c>
      <c r="AU319" s="69">
        <v>45764.0</v>
      </c>
      <c r="AV319" s="69">
        <v>46128.0</v>
      </c>
      <c r="AX319" s="52" t="s">
        <v>587</v>
      </c>
      <c r="AY319" s="52">
        <v>364.0</v>
      </c>
      <c r="AZ319" s="52" t="s">
        <v>39</v>
      </c>
      <c r="BA319" s="73" t="s">
        <v>3801</v>
      </c>
      <c r="BC319" s="52" t="s">
        <v>3802</v>
      </c>
      <c r="BD319" s="69">
        <v>1.1432355E7</v>
      </c>
      <c r="BE319" s="52" t="s">
        <v>3803</v>
      </c>
      <c r="BG319" s="52" t="s">
        <v>2041</v>
      </c>
      <c r="BH319" s="52" t="s">
        <v>1357</v>
      </c>
      <c r="BI319" s="52" t="s">
        <v>3475</v>
      </c>
    </row>
    <row r="320">
      <c r="A320" s="52">
        <v>282.0</v>
      </c>
      <c r="B320" s="52" t="s">
        <v>1353</v>
      </c>
      <c r="C320" s="52" t="s">
        <v>2307</v>
      </c>
      <c r="D320" s="52" t="s">
        <v>1356</v>
      </c>
      <c r="E320" s="52" t="s">
        <v>3795</v>
      </c>
      <c r="F320" s="69">
        <v>45763.0</v>
      </c>
      <c r="G320" s="52" t="s">
        <v>3804</v>
      </c>
      <c r="H320" s="52" t="s">
        <v>2028</v>
      </c>
      <c r="I320" s="52" t="s">
        <v>2028</v>
      </c>
      <c r="J320" s="52" t="s">
        <v>1470</v>
      </c>
      <c r="K320" s="52" t="s">
        <v>2029</v>
      </c>
      <c r="L320" s="52" t="s">
        <v>2010</v>
      </c>
      <c r="O320" s="69">
        <v>45761.0</v>
      </c>
      <c r="P320" s="52">
        <v>2.0251110025743E13</v>
      </c>
      <c r="Q320" s="52" t="s">
        <v>2029</v>
      </c>
      <c r="R320" s="69">
        <v>45762.0</v>
      </c>
      <c r="S320" s="52" t="s">
        <v>3805</v>
      </c>
      <c r="T320" s="52" t="s">
        <v>2013</v>
      </c>
      <c r="U320" s="52" t="s">
        <v>3806</v>
      </c>
      <c r="V320" s="52" t="s">
        <v>581</v>
      </c>
      <c r="W320" s="52" t="s">
        <v>1555</v>
      </c>
      <c r="X320" s="52" t="s">
        <v>1352</v>
      </c>
      <c r="Y320" s="52" t="s">
        <v>1354</v>
      </c>
      <c r="AA320" s="52" t="s">
        <v>39</v>
      </c>
      <c r="AB320" s="52" t="s">
        <v>39</v>
      </c>
      <c r="AC320" s="52" t="s">
        <v>39</v>
      </c>
      <c r="AG320" s="52">
        <v>126.0</v>
      </c>
      <c r="AH320" s="52" t="s">
        <v>39</v>
      </c>
      <c r="AI320" s="52" t="s">
        <v>3807</v>
      </c>
      <c r="AJ320" s="52" t="s">
        <v>3808</v>
      </c>
      <c r="AK320" s="52" t="s">
        <v>2022</v>
      </c>
      <c r="AL320" s="52" t="s">
        <v>1941</v>
      </c>
      <c r="AP320" s="52">
        <v>35425.0</v>
      </c>
      <c r="AQ320" s="52">
        <v>35425.0</v>
      </c>
      <c r="AR320" s="52" t="s">
        <v>648</v>
      </c>
      <c r="AS320" s="52" t="s">
        <v>39</v>
      </c>
      <c r="AT320" s="52" t="s">
        <v>39</v>
      </c>
      <c r="AU320" s="69">
        <v>45770.0</v>
      </c>
      <c r="AV320" s="69">
        <v>45891.0</v>
      </c>
      <c r="AX320" s="52" t="s">
        <v>587</v>
      </c>
      <c r="AY320" s="52">
        <v>121.0</v>
      </c>
      <c r="AZ320" s="52" t="s">
        <v>39</v>
      </c>
      <c r="BA320" s="73" t="s">
        <v>3809</v>
      </c>
      <c r="BC320" s="52" t="s">
        <v>524</v>
      </c>
      <c r="BD320" s="52">
        <v>1.01603403E9</v>
      </c>
      <c r="BE320" s="52" t="s">
        <v>2648</v>
      </c>
      <c r="BG320" s="52" t="s">
        <v>2041</v>
      </c>
      <c r="BH320" s="52" t="s">
        <v>3810</v>
      </c>
      <c r="BI320" s="52" t="s">
        <v>3475</v>
      </c>
    </row>
    <row r="321">
      <c r="A321" s="52">
        <v>283.0</v>
      </c>
      <c r="B321" s="52" t="s">
        <v>3811</v>
      </c>
      <c r="E321" s="52" t="s">
        <v>1908</v>
      </c>
      <c r="G321" s="52" t="s">
        <v>3812</v>
      </c>
      <c r="H321" s="52" t="s">
        <v>2257</v>
      </c>
      <c r="I321" s="52" t="s">
        <v>2257</v>
      </c>
      <c r="J321" s="52" t="s">
        <v>1478</v>
      </c>
      <c r="K321" s="52" t="s">
        <v>2612</v>
      </c>
      <c r="L321" s="52" t="s">
        <v>2010</v>
      </c>
      <c r="N321" s="52" t="s">
        <v>2010</v>
      </c>
      <c r="O321" s="69">
        <v>45768.0</v>
      </c>
      <c r="P321" s="52">
        <v>2.0251000026353E13</v>
      </c>
      <c r="Q321" s="52" t="s">
        <v>2612</v>
      </c>
      <c r="R321" s="69">
        <v>45769.0</v>
      </c>
      <c r="S321" s="52" t="s">
        <v>3813</v>
      </c>
      <c r="T321" s="52" t="s">
        <v>3814</v>
      </c>
      <c r="U321" s="52" t="s">
        <v>3815</v>
      </c>
      <c r="AG321" s="52">
        <v>126.0</v>
      </c>
      <c r="AY321" s="52">
        <v>0.0</v>
      </c>
      <c r="AZ321" s="52" t="s">
        <v>39</v>
      </c>
      <c r="BH321" s="52" t="s">
        <v>1370</v>
      </c>
    </row>
    <row r="322">
      <c r="A322" s="52">
        <v>284.0</v>
      </c>
      <c r="B322" s="52" t="s">
        <v>3816</v>
      </c>
      <c r="E322" s="52" t="s">
        <v>1908</v>
      </c>
      <c r="G322" s="52" t="s">
        <v>3817</v>
      </c>
      <c r="H322" s="52" t="s">
        <v>1896</v>
      </c>
      <c r="I322" s="52" t="s">
        <v>1896</v>
      </c>
      <c r="J322" s="52" t="s">
        <v>1478</v>
      </c>
      <c r="K322" s="52" t="s">
        <v>2213</v>
      </c>
      <c r="O322" s="69">
        <v>45768.0</v>
      </c>
      <c r="P322" s="52">
        <v>2.0251000026343E13</v>
      </c>
      <c r="Q322" s="52" t="s">
        <v>3729</v>
      </c>
      <c r="R322" s="69">
        <v>45769.0</v>
      </c>
      <c r="S322" s="52" t="s">
        <v>3818</v>
      </c>
      <c r="U322" s="52" t="s">
        <v>3819</v>
      </c>
      <c r="AG322" s="52">
        <v>126.0</v>
      </c>
      <c r="AY322" s="52">
        <v>0.0</v>
      </c>
      <c r="AZ322" s="52" t="s">
        <v>39</v>
      </c>
    </row>
    <row r="323">
      <c r="A323" s="52">
        <v>285.0</v>
      </c>
      <c r="B323" s="52" t="s">
        <v>3820</v>
      </c>
      <c r="E323" s="52" t="s">
        <v>1908</v>
      </c>
      <c r="G323" s="52" t="s">
        <v>3821</v>
      </c>
      <c r="H323" s="52" t="s">
        <v>1896</v>
      </c>
      <c r="I323" s="52" t="s">
        <v>1896</v>
      </c>
      <c r="J323" s="52" t="s">
        <v>1478</v>
      </c>
      <c r="K323" s="52" t="s">
        <v>2213</v>
      </c>
      <c r="O323" s="69">
        <v>45769.0</v>
      </c>
      <c r="P323" s="52">
        <v>2.0251000026513E13</v>
      </c>
      <c r="Q323" s="52" t="s">
        <v>3729</v>
      </c>
      <c r="R323" s="69">
        <v>45770.0</v>
      </c>
      <c r="S323" s="52" t="s">
        <v>3822</v>
      </c>
      <c r="U323" s="52" t="s">
        <v>3823</v>
      </c>
      <c r="AG323" s="52">
        <v>126.0</v>
      </c>
      <c r="AY323" s="52">
        <v>0.0</v>
      </c>
      <c r="AZ323" s="52" t="s">
        <v>39</v>
      </c>
    </row>
    <row r="324">
      <c r="A324" s="52">
        <v>286.0</v>
      </c>
      <c r="B324" s="52" t="s">
        <v>1358</v>
      </c>
      <c r="C324" s="52" t="s">
        <v>2307</v>
      </c>
      <c r="D324" s="52" t="s">
        <v>3824</v>
      </c>
      <c r="E324" s="52" t="s">
        <v>1908</v>
      </c>
      <c r="F324" s="69">
        <v>45776.0</v>
      </c>
      <c r="G324" s="52" t="s">
        <v>1360</v>
      </c>
      <c r="H324" s="52" t="s">
        <v>3796</v>
      </c>
      <c r="I324" s="52" t="s">
        <v>3796</v>
      </c>
      <c r="J324" s="52" t="s">
        <v>1942</v>
      </c>
      <c r="K324" s="52" t="s">
        <v>2029</v>
      </c>
      <c r="O324" s="69">
        <v>45775.0</v>
      </c>
      <c r="P324" s="52">
        <v>2.0251110027313E13</v>
      </c>
      <c r="Q324" s="52" t="s">
        <v>2029</v>
      </c>
      <c r="R324" s="69">
        <v>45775.0</v>
      </c>
      <c r="S324" s="52" t="s">
        <v>3825</v>
      </c>
      <c r="T324" s="52" t="s">
        <v>2013</v>
      </c>
      <c r="U324" s="52" t="s">
        <v>3826</v>
      </c>
      <c r="V324" s="52" t="s">
        <v>581</v>
      </c>
      <c r="W324" s="52" t="s">
        <v>1555</v>
      </c>
      <c r="X324" s="52" t="s">
        <v>1030</v>
      </c>
      <c r="Y324" s="52" t="s">
        <v>1359</v>
      </c>
      <c r="AA324" s="52" t="s">
        <v>39</v>
      </c>
      <c r="AB324" s="52" t="s">
        <v>39</v>
      </c>
      <c r="AC324" s="52" t="s">
        <v>39</v>
      </c>
      <c r="AG324" s="52">
        <v>126.0</v>
      </c>
      <c r="AH324" s="52" t="s">
        <v>39</v>
      </c>
      <c r="AJ324" s="52" t="s">
        <v>3827</v>
      </c>
      <c r="AK324" s="52" t="s">
        <v>2022</v>
      </c>
      <c r="AL324" s="52">
        <v>7.38036E7</v>
      </c>
      <c r="AN324" s="52">
        <v>7.38036E7</v>
      </c>
      <c r="AP324" s="52">
        <v>34125.0</v>
      </c>
      <c r="AQ324" s="52">
        <v>37725.0</v>
      </c>
      <c r="AR324" s="52" t="s">
        <v>1361</v>
      </c>
      <c r="AS324" s="52" t="s">
        <v>39</v>
      </c>
      <c r="AT324" s="52" t="s">
        <v>39</v>
      </c>
      <c r="AU324" s="69">
        <v>45789.0</v>
      </c>
      <c r="AV324" s="70">
        <v>46022.0</v>
      </c>
      <c r="AX324" s="69">
        <v>46203.0</v>
      </c>
      <c r="AY324" s="52">
        <v>233.0</v>
      </c>
      <c r="AZ324" s="52" t="s">
        <v>39</v>
      </c>
      <c r="BB324" s="69">
        <v>45786.0</v>
      </c>
      <c r="BC324" s="52" t="s">
        <v>524</v>
      </c>
      <c r="BD324" s="52">
        <v>1.9303987E7</v>
      </c>
      <c r="BE324" s="52" t="s">
        <v>2648</v>
      </c>
      <c r="BG324" s="52" t="s">
        <v>2041</v>
      </c>
      <c r="BH324" s="52" t="s">
        <v>1379</v>
      </c>
      <c r="BI324" s="52" t="s">
        <v>3701</v>
      </c>
    </row>
    <row r="325">
      <c r="A325" s="52">
        <v>287.0</v>
      </c>
      <c r="B325" s="52" t="s">
        <v>3828</v>
      </c>
      <c r="E325" s="52" t="s">
        <v>1908</v>
      </c>
      <c r="G325" s="52" t="s">
        <v>3829</v>
      </c>
      <c r="H325" s="52" t="s">
        <v>1905</v>
      </c>
      <c r="I325" s="52" t="s">
        <v>1905</v>
      </c>
      <c r="J325" s="52" t="s">
        <v>1470</v>
      </c>
      <c r="K325" s="52" t="s">
        <v>2029</v>
      </c>
      <c r="O325" s="69">
        <v>45776.0</v>
      </c>
      <c r="P325" s="52">
        <v>2.0251130027483E13</v>
      </c>
      <c r="Q325" s="52" t="s">
        <v>2029</v>
      </c>
      <c r="R325" s="69">
        <v>45777.0</v>
      </c>
      <c r="S325" s="52" t="s">
        <v>3830</v>
      </c>
      <c r="T325" s="52" t="s">
        <v>3831</v>
      </c>
      <c r="U325" s="52" t="s">
        <v>3832</v>
      </c>
      <c r="AG325" s="52">
        <v>126.0</v>
      </c>
      <c r="AY325" s="52">
        <v>0.0</v>
      </c>
      <c r="AZ325" s="52" t="s">
        <v>39</v>
      </c>
      <c r="BH325" s="52" t="s">
        <v>1383</v>
      </c>
    </row>
    <row r="326">
      <c r="A326" s="52">
        <v>288.0</v>
      </c>
      <c r="B326" s="52" t="s">
        <v>1371</v>
      </c>
      <c r="C326" s="52" t="s">
        <v>2005</v>
      </c>
      <c r="D326" s="52">
        <v>1.015417568E9</v>
      </c>
      <c r="E326" s="52" t="s">
        <v>1908</v>
      </c>
      <c r="F326" s="69">
        <v>45789.0</v>
      </c>
      <c r="G326" s="52" t="s">
        <v>1373</v>
      </c>
      <c r="H326" s="52" t="s">
        <v>134</v>
      </c>
      <c r="I326" s="52" t="s">
        <v>134</v>
      </c>
      <c r="K326" s="52" t="s">
        <v>2069</v>
      </c>
      <c r="L326" s="52" t="s">
        <v>2010</v>
      </c>
      <c r="O326" s="69">
        <v>45785.0</v>
      </c>
      <c r="P326" s="52">
        <v>2.0251300030683E13</v>
      </c>
      <c r="Q326" s="52" t="s">
        <v>2069</v>
      </c>
      <c r="R326" s="69">
        <v>45785.0</v>
      </c>
      <c r="S326" s="52" t="s">
        <v>3833</v>
      </c>
      <c r="T326" s="52" t="s">
        <v>2013</v>
      </c>
      <c r="U326" s="52" t="s">
        <v>3834</v>
      </c>
      <c r="V326" s="52" t="s">
        <v>581</v>
      </c>
      <c r="W326" s="52" t="s">
        <v>1471</v>
      </c>
      <c r="X326" s="52" t="s">
        <v>583</v>
      </c>
      <c r="Y326" s="52" t="s">
        <v>1372</v>
      </c>
      <c r="Z326" s="52" t="s">
        <v>2081</v>
      </c>
      <c r="AA326" s="52" t="s">
        <v>2016</v>
      </c>
      <c r="AB326" s="52" t="s">
        <v>2062</v>
      </c>
      <c r="AC326" s="52" t="s">
        <v>2016</v>
      </c>
      <c r="AG326" s="52">
        <v>126.0</v>
      </c>
      <c r="AH326" s="52" t="s">
        <v>1584</v>
      </c>
      <c r="AI326" s="52" t="s">
        <v>3835</v>
      </c>
      <c r="AJ326" s="52" t="s">
        <v>3836</v>
      </c>
      <c r="AK326" s="52" t="s">
        <v>2022</v>
      </c>
      <c r="AL326" s="52">
        <v>1.0E7</v>
      </c>
      <c r="AN326" s="52">
        <v>1.0E7</v>
      </c>
      <c r="AP326" s="52">
        <v>33525.0</v>
      </c>
      <c r="AQ326" s="52">
        <v>39625.0</v>
      </c>
      <c r="AR326" s="52" t="s">
        <v>191</v>
      </c>
      <c r="AS326" s="69">
        <v>45790.0</v>
      </c>
      <c r="AT326" s="69">
        <v>45852.0</v>
      </c>
      <c r="AU326" s="69">
        <v>45790.0</v>
      </c>
      <c r="AV326" s="69">
        <v>45850.0</v>
      </c>
      <c r="AX326" s="52" t="s">
        <v>587</v>
      </c>
      <c r="AY326" s="52">
        <v>60.0</v>
      </c>
      <c r="AZ326" s="52" t="s">
        <v>39</v>
      </c>
      <c r="BA326" s="73" t="s">
        <v>3837</v>
      </c>
      <c r="BB326" s="69">
        <v>45790.0</v>
      </c>
      <c r="BC326" s="52" t="s">
        <v>1225</v>
      </c>
      <c r="BD326" s="52">
        <v>7.9565032E7</v>
      </c>
      <c r="BE326" s="52" t="s">
        <v>2534</v>
      </c>
      <c r="BG326" s="52" t="s">
        <v>2041</v>
      </c>
      <c r="BH326" s="52" t="s">
        <v>1387</v>
      </c>
      <c r="BI326" s="52" t="s">
        <v>3701</v>
      </c>
    </row>
    <row r="327">
      <c r="A327" s="52">
        <v>289.0</v>
      </c>
      <c r="B327" s="52" t="s">
        <v>1375</v>
      </c>
      <c r="C327" s="52" t="s">
        <v>2307</v>
      </c>
      <c r="D327" s="52" t="s">
        <v>3838</v>
      </c>
      <c r="E327" s="52" t="s">
        <v>1908</v>
      </c>
      <c r="F327" s="69">
        <v>45797.0</v>
      </c>
      <c r="G327" s="52" t="s">
        <v>1377</v>
      </c>
      <c r="H327" s="52" t="s">
        <v>1905</v>
      </c>
      <c r="I327" s="52" t="s">
        <v>1905</v>
      </c>
      <c r="J327" s="52" t="s">
        <v>1470</v>
      </c>
      <c r="K327" s="52" t="s">
        <v>2029</v>
      </c>
      <c r="O327" s="69">
        <v>45786.0</v>
      </c>
      <c r="P327" s="52">
        <v>2.0251130031033E13</v>
      </c>
      <c r="Q327" s="52" t="s">
        <v>2029</v>
      </c>
      <c r="R327" s="69">
        <v>45789.0</v>
      </c>
      <c r="S327" s="52" t="s">
        <v>3839</v>
      </c>
      <c r="T327" s="52" t="s">
        <v>2013</v>
      </c>
      <c r="U327" s="52" t="s">
        <v>3840</v>
      </c>
      <c r="V327" s="52" t="s">
        <v>581</v>
      </c>
      <c r="W327" s="52" t="s">
        <v>1555</v>
      </c>
      <c r="X327" s="52" t="s">
        <v>81</v>
      </c>
      <c r="Y327" s="52" t="s">
        <v>1376</v>
      </c>
      <c r="Z327" s="52" t="s">
        <v>1333</v>
      </c>
      <c r="AA327" s="52" t="s">
        <v>39</v>
      </c>
      <c r="AB327" s="52" t="s">
        <v>39</v>
      </c>
      <c r="AC327" s="52" t="s">
        <v>39</v>
      </c>
      <c r="AG327" s="52">
        <v>126.0</v>
      </c>
      <c r="AH327" s="52" t="s">
        <v>39</v>
      </c>
      <c r="AI327" s="52" t="s">
        <v>3841</v>
      </c>
      <c r="AJ327" s="52" t="s">
        <v>3841</v>
      </c>
      <c r="AK327" s="52" t="s">
        <v>3842</v>
      </c>
      <c r="AL327" s="52" t="s">
        <v>1946</v>
      </c>
      <c r="AN327" s="52" t="s">
        <v>1946</v>
      </c>
      <c r="AP327" s="52">
        <v>33625.0</v>
      </c>
      <c r="AQ327" s="52">
        <v>41325.0</v>
      </c>
      <c r="AR327" s="52" t="s">
        <v>1378</v>
      </c>
      <c r="AS327" s="52" t="s">
        <v>39</v>
      </c>
      <c r="AT327" s="52" t="s">
        <v>39</v>
      </c>
      <c r="AU327" s="69">
        <v>45806.0</v>
      </c>
      <c r="AV327" s="69">
        <v>45866.0</v>
      </c>
      <c r="AX327" s="52" t="s">
        <v>1262</v>
      </c>
      <c r="AY327" s="52">
        <v>60.0</v>
      </c>
      <c r="AZ327" s="52" t="s">
        <v>39</v>
      </c>
      <c r="BA327" s="73" t="s">
        <v>3843</v>
      </c>
      <c r="BB327" s="69">
        <v>45805.0</v>
      </c>
      <c r="BC327" s="52" t="s">
        <v>274</v>
      </c>
      <c r="BD327" s="52">
        <v>5.2328908E7</v>
      </c>
      <c r="BE327" s="52" t="s">
        <v>2321</v>
      </c>
      <c r="BG327" s="52" t="s">
        <v>2041</v>
      </c>
      <c r="BH327" s="52" t="s">
        <v>1392</v>
      </c>
      <c r="BI327" s="52" t="s">
        <v>3701</v>
      </c>
    </row>
    <row r="328">
      <c r="A328" s="52">
        <v>290.0</v>
      </c>
      <c r="B328" s="52" t="s">
        <v>3844</v>
      </c>
      <c r="E328" s="52" t="s">
        <v>1908</v>
      </c>
      <c r="G328" s="52" t="s">
        <v>3845</v>
      </c>
      <c r="H328" s="52" t="s">
        <v>134</v>
      </c>
      <c r="I328" s="52" t="s">
        <v>2121</v>
      </c>
      <c r="J328" s="52" t="s">
        <v>1478</v>
      </c>
      <c r="K328" s="52" t="s">
        <v>2069</v>
      </c>
      <c r="L328" s="52" t="s">
        <v>3846</v>
      </c>
      <c r="O328" s="69">
        <v>45793.0</v>
      </c>
      <c r="P328" s="52">
        <v>2.0251300031923E13</v>
      </c>
      <c r="Q328" s="52" t="s">
        <v>2069</v>
      </c>
      <c r="R328" s="69">
        <v>45793.0</v>
      </c>
      <c r="S328" s="52" t="s">
        <v>3847</v>
      </c>
      <c r="U328" s="52" t="s">
        <v>3848</v>
      </c>
      <c r="AG328" s="52">
        <v>126.0</v>
      </c>
      <c r="AY328" s="52">
        <v>0.0</v>
      </c>
      <c r="AZ328" s="52" t="s">
        <v>39</v>
      </c>
      <c r="BH328" s="52" t="s">
        <v>1398</v>
      </c>
    </row>
    <row r="329">
      <c r="A329" s="52">
        <v>291.0</v>
      </c>
      <c r="B329" s="52" t="s">
        <v>1380</v>
      </c>
      <c r="C329" s="52" t="s">
        <v>2005</v>
      </c>
      <c r="D329" s="52">
        <v>5.2215231E7</v>
      </c>
      <c r="E329" s="52" t="s">
        <v>1908</v>
      </c>
      <c r="F329" s="69">
        <v>45793.0</v>
      </c>
      <c r="G329" s="52" t="s">
        <v>144</v>
      </c>
      <c r="H329" s="52" t="s">
        <v>41</v>
      </c>
      <c r="I329" s="52" t="s">
        <v>41</v>
      </c>
      <c r="J329" s="52" t="s">
        <v>1470</v>
      </c>
      <c r="K329" s="52" t="s">
        <v>2029</v>
      </c>
      <c r="O329" s="69">
        <v>45792.0</v>
      </c>
      <c r="P329" s="52">
        <v>2.0251110031773E13</v>
      </c>
      <c r="Q329" s="52" t="s">
        <v>2029</v>
      </c>
      <c r="S329" s="52" t="s">
        <v>3849</v>
      </c>
      <c r="T329" s="52" t="s">
        <v>2013</v>
      </c>
      <c r="U329" s="52" t="s">
        <v>3850</v>
      </c>
      <c r="V329" s="52" t="s">
        <v>581</v>
      </c>
      <c r="W329" s="52" t="s">
        <v>1471</v>
      </c>
      <c r="X329" s="52" t="s">
        <v>583</v>
      </c>
      <c r="Y329" s="52" t="s">
        <v>1381</v>
      </c>
      <c r="Z329" s="52" t="s">
        <v>2015</v>
      </c>
      <c r="AA329" s="52" t="s">
        <v>2016</v>
      </c>
      <c r="AB329" s="52" t="s">
        <v>2062</v>
      </c>
      <c r="AC329" s="52" t="s">
        <v>2018</v>
      </c>
      <c r="AG329" s="52">
        <v>126.0</v>
      </c>
      <c r="AH329" s="52" t="s">
        <v>1479</v>
      </c>
      <c r="AI329" s="52" t="s">
        <v>3851</v>
      </c>
      <c r="AJ329" s="52" t="s">
        <v>3851</v>
      </c>
      <c r="AK329" s="52" t="s">
        <v>3842</v>
      </c>
      <c r="AL329" s="52" t="s">
        <v>1947</v>
      </c>
      <c r="AN329" s="52" t="s">
        <v>1947</v>
      </c>
      <c r="AP329" s="52">
        <v>33725.0</v>
      </c>
      <c r="AQ329" s="52">
        <v>41125.0</v>
      </c>
      <c r="AR329" s="52" t="s">
        <v>91</v>
      </c>
      <c r="AS329" s="69">
        <v>45797.0</v>
      </c>
      <c r="AT329" s="70">
        <v>46022.0</v>
      </c>
      <c r="AU329" s="69">
        <v>45797.0</v>
      </c>
      <c r="AV329" s="70">
        <v>46022.0</v>
      </c>
      <c r="AX329" s="52" t="s">
        <v>1262</v>
      </c>
      <c r="AY329" s="52">
        <v>225.0</v>
      </c>
      <c r="AZ329" s="52" t="s">
        <v>39</v>
      </c>
      <c r="BA329" s="73" t="s">
        <v>3852</v>
      </c>
      <c r="BB329" s="69">
        <v>45797.0</v>
      </c>
      <c r="BC329" s="52" t="s">
        <v>3853</v>
      </c>
      <c r="BD329" s="52">
        <v>5.2493525E7</v>
      </c>
      <c r="BE329" s="52" t="s">
        <v>3854</v>
      </c>
      <c r="BG329" s="52" t="s">
        <v>2041</v>
      </c>
      <c r="BH329" s="52" t="s">
        <v>1403</v>
      </c>
      <c r="BI329" s="52" t="s">
        <v>3701</v>
      </c>
    </row>
    <row r="330">
      <c r="A330" s="52">
        <v>292.0</v>
      </c>
      <c r="B330" s="52" t="s">
        <v>1384</v>
      </c>
      <c r="C330" s="52" t="s">
        <v>2005</v>
      </c>
      <c r="D330" s="52">
        <v>1.073519307E9</v>
      </c>
      <c r="E330" s="52" t="s">
        <v>1908</v>
      </c>
      <c r="F330" s="69">
        <v>45805.0</v>
      </c>
      <c r="G330" s="52" t="s">
        <v>1386</v>
      </c>
      <c r="H330" s="52" t="s">
        <v>3855</v>
      </c>
      <c r="I330" s="52" t="s">
        <v>3855</v>
      </c>
      <c r="J330" s="52" t="s">
        <v>1478</v>
      </c>
      <c r="K330" s="52" t="s">
        <v>2213</v>
      </c>
      <c r="L330" s="52" t="s">
        <v>3856</v>
      </c>
      <c r="O330" s="69">
        <v>45797.0</v>
      </c>
      <c r="P330" s="52">
        <v>2.0251400032473E13</v>
      </c>
      <c r="Q330" s="52" t="s">
        <v>3729</v>
      </c>
      <c r="R330" s="69">
        <v>45797.0</v>
      </c>
      <c r="S330" s="52" t="s">
        <v>3857</v>
      </c>
      <c r="T330" s="52" t="s">
        <v>2013</v>
      </c>
      <c r="U330" s="52" t="s">
        <v>3858</v>
      </c>
      <c r="V330" s="52" t="s">
        <v>581</v>
      </c>
      <c r="W330" s="52" t="s">
        <v>1471</v>
      </c>
      <c r="X330" s="52" t="s">
        <v>583</v>
      </c>
      <c r="Y330" s="52" t="s">
        <v>1385</v>
      </c>
      <c r="Z330" s="52" t="s">
        <v>2081</v>
      </c>
      <c r="AA330" s="52" t="s">
        <v>2016</v>
      </c>
      <c r="AB330" s="52" t="s">
        <v>2062</v>
      </c>
      <c r="AC330" s="52" t="s">
        <v>2114</v>
      </c>
      <c r="AG330" s="52">
        <v>126.0</v>
      </c>
      <c r="AH330" s="52" t="s">
        <v>1493</v>
      </c>
      <c r="AI330" s="52" t="s">
        <v>3859</v>
      </c>
      <c r="AJ330" s="52" t="s">
        <v>3860</v>
      </c>
      <c r="AK330" s="52" t="s">
        <v>3842</v>
      </c>
      <c r="AL330" s="52" t="s">
        <v>1948</v>
      </c>
      <c r="AN330" s="52" t="s">
        <v>1948</v>
      </c>
      <c r="AP330" s="52">
        <v>32025.0</v>
      </c>
      <c r="AQ330" s="52">
        <v>42825.0</v>
      </c>
      <c r="AR330" s="52" t="s">
        <v>111</v>
      </c>
      <c r="AS330" s="69">
        <v>45805.0</v>
      </c>
      <c r="AT330" s="70">
        <v>46022.0</v>
      </c>
      <c r="AU330" s="69">
        <v>45806.0</v>
      </c>
      <c r="AV330" s="70">
        <v>46019.0</v>
      </c>
      <c r="AX330" s="52" t="s">
        <v>1262</v>
      </c>
      <c r="AY330" s="52">
        <v>213.0</v>
      </c>
      <c r="AZ330" s="52" t="s">
        <v>39</v>
      </c>
      <c r="BA330" s="73" t="s">
        <v>3861</v>
      </c>
      <c r="BB330" s="69">
        <v>45806.0</v>
      </c>
      <c r="BC330" s="52" t="s">
        <v>112</v>
      </c>
      <c r="BD330" s="52">
        <v>5.2528698E7</v>
      </c>
      <c r="BE330" s="52" t="s">
        <v>2129</v>
      </c>
      <c r="BG330" s="52" t="s">
        <v>2041</v>
      </c>
      <c r="BH330" s="52" t="s">
        <v>1407</v>
      </c>
      <c r="BI330" s="52" t="s">
        <v>3701</v>
      </c>
    </row>
    <row r="331">
      <c r="A331" s="52">
        <v>293.0</v>
      </c>
      <c r="B331" s="52" t="s">
        <v>1388</v>
      </c>
      <c r="C331" s="52" t="s">
        <v>2005</v>
      </c>
      <c r="D331" s="52">
        <v>1.2750637E7</v>
      </c>
      <c r="E331" s="52" t="s">
        <v>1908</v>
      </c>
      <c r="F331" s="69">
        <v>45800.0</v>
      </c>
      <c r="G331" s="52" t="s">
        <v>1390</v>
      </c>
      <c r="H331" s="52" t="s">
        <v>3768</v>
      </c>
      <c r="I331" s="52" t="s">
        <v>3768</v>
      </c>
      <c r="J331" s="52" t="s">
        <v>1949</v>
      </c>
      <c r="K331" s="52" t="s">
        <v>2612</v>
      </c>
      <c r="L331" s="52" t="s">
        <v>2010</v>
      </c>
      <c r="N331" s="52" t="s">
        <v>2010</v>
      </c>
      <c r="O331" s="69">
        <v>45798.0</v>
      </c>
      <c r="P331" s="52">
        <v>2.0251900032703E13</v>
      </c>
      <c r="Q331" s="52" t="s">
        <v>2612</v>
      </c>
      <c r="R331" s="69">
        <v>45798.0</v>
      </c>
      <c r="S331" s="52" t="s">
        <v>3862</v>
      </c>
      <c r="T331" s="52" t="s">
        <v>2013</v>
      </c>
      <c r="U331" s="52" t="s">
        <v>3863</v>
      </c>
      <c r="V331" s="52" t="s">
        <v>581</v>
      </c>
      <c r="W331" s="52" t="s">
        <v>1471</v>
      </c>
      <c r="X331" s="52" t="s">
        <v>583</v>
      </c>
      <c r="Y331" s="52" t="s">
        <v>1389</v>
      </c>
      <c r="Z331" s="52" t="s">
        <v>2081</v>
      </c>
      <c r="AA331" s="52" t="s">
        <v>2153</v>
      </c>
      <c r="AB331" s="52" t="s">
        <v>2062</v>
      </c>
      <c r="AC331" s="52" t="s">
        <v>2033</v>
      </c>
      <c r="AG331" s="52">
        <v>126.0</v>
      </c>
      <c r="AH331" s="52" t="s">
        <v>1625</v>
      </c>
      <c r="AI331" s="52" t="s">
        <v>3864</v>
      </c>
      <c r="AJ331" s="52" t="s">
        <v>3864</v>
      </c>
      <c r="AK331" s="52" t="s">
        <v>3842</v>
      </c>
      <c r="AL331" s="52" t="s">
        <v>1950</v>
      </c>
      <c r="AN331" s="52" t="s">
        <v>1950</v>
      </c>
      <c r="AP331" s="52">
        <v>35125.0</v>
      </c>
      <c r="AQ331" s="52">
        <v>42025.0</v>
      </c>
      <c r="AR331" s="52" t="s">
        <v>730</v>
      </c>
      <c r="AS331" s="69">
        <v>45805.0</v>
      </c>
      <c r="AT331" s="70">
        <v>46022.0</v>
      </c>
      <c r="AU331" s="69">
        <v>45805.0</v>
      </c>
      <c r="AV331" s="70">
        <v>46022.0</v>
      </c>
      <c r="AX331" s="52" t="s">
        <v>1262</v>
      </c>
      <c r="AY331" s="52">
        <v>217.0</v>
      </c>
      <c r="AZ331" s="52" t="s">
        <v>39</v>
      </c>
      <c r="BA331" s="73" t="s">
        <v>3865</v>
      </c>
      <c r="BB331" s="69">
        <v>45812.0</v>
      </c>
      <c r="BC331" s="52" t="s">
        <v>1391</v>
      </c>
      <c r="BD331" s="52">
        <v>8.0813888E7</v>
      </c>
      <c r="BE331" s="52" t="s">
        <v>2718</v>
      </c>
      <c r="BG331" s="52" t="s">
        <v>2041</v>
      </c>
      <c r="BH331" s="52" t="s">
        <v>1411</v>
      </c>
      <c r="BI331" s="52" t="s">
        <v>3701</v>
      </c>
    </row>
    <row r="332">
      <c r="A332" s="52">
        <v>294.0</v>
      </c>
      <c r="B332" s="52" t="s">
        <v>1393</v>
      </c>
      <c r="C332" s="52" t="s">
        <v>2005</v>
      </c>
      <c r="D332" s="52">
        <v>7.9388305E7</v>
      </c>
      <c r="E332" s="52" t="s">
        <v>1908</v>
      </c>
      <c r="F332" s="69">
        <v>45804.0</v>
      </c>
      <c r="G332" s="52" t="s">
        <v>1395</v>
      </c>
      <c r="H332" s="52" t="s">
        <v>3866</v>
      </c>
      <c r="I332" s="52" t="s">
        <v>3866</v>
      </c>
      <c r="J332" s="52" t="s">
        <v>1478</v>
      </c>
      <c r="K332" s="52" t="s">
        <v>2612</v>
      </c>
      <c r="L332" s="52" t="s">
        <v>2010</v>
      </c>
      <c r="N332" s="52" t="s">
        <v>2010</v>
      </c>
      <c r="O332" s="69">
        <v>45800.0</v>
      </c>
      <c r="P332" s="52">
        <v>2.0251800033103E13</v>
      </c>
      <c r="Q332" s="52" t="s">
        <v>2612</v>
      </c>
      <c r="R332" s="69">
        <v>45800.0</v>
      </c>
      <c r="S332" s="52" t="s">
        <v>3867</v>
      </c>
      <c r="T332" s="52" t="s">
        <v>2013</v>
      </c>
      <c r="U332" s="52" t="s">
        <v>3868</v>
      </c>
      <c r="V332" s="52" t="s">
        <v>581</v>
      </c>
      <c r="W332" s="52" t="s">
        <v>1471</v>
      </c>
      <c r="X332" s="52" t="s">
        <v>583</v>
      </c>
      <c r="Y332" s="52" t="s">
        <v>1394</v>
      </c>
      <c r="Z332" s="52" t="s">
        <v>2081</v>
      </c>
      <c r="AA332" s="52" t="s">
        <v>2016</v>
      </c>
      <c r="AB332" s="52" t="s">
        <v>2470</v>
      </c>
      <c r="AC332" s="52" t="s">
        <v>2018</v>
      </c>
      <c r="AG332" s="52">
        <v>126.0</v>
      </c>
      <c r="AH332" s="52" t="s">
        <v>1526</v>
      </c>
      <c r="AI332" s="52" t="s">
        <v>3869</v>
      </c>
      <c r="AJ332" s="52" t="s">
        <v>3870</v>
      </c>
      <c r="AK332" s="52" t="s">
        <v>3842</v>
      </c>
      <c r="AL332" s="52" t="s">
        <v>1951</v>
      </c>
      <c r="AN332" s="52" t="s">
        <v>1951</v>
      </c>
      <c r="AP332" s="52">
        <v>35625.0</v>
      </c>
      <c r="AQ332" s="52">
        <v>42125.0</v>
      </c>
      <c r="AR332" s="52" t="s">
        <v>1396</v>
      </c>
      <c r="AS332" s="69">
        <v>45805.0</v>
      </c>
      <c r="AT332" s="70">
        <v>46022.0</v>
      </c>
      <c r="AU332" s="69">
        <v>45805.0</v>
      </c>
      <c r="AV332" s="70">
        <v>46022.0</v>
      </c>
      <c r="AX332" s="52" t="s">
        <v>1262</v>
      </c>
      <c r="AY332" s="52">
        <v>217.0</v>
      </c>
      <c r="AZ332" s="52" t="s">
        <v>39</v>
      </c>
      <c r="BA332" s="73" t="s">
        <v>3871</v>
      </c>
      <c r="BB332" s="69">
        <v>45805.0</v>
      </c>
      <c r="BC332" s="52" t="s">
        <v>1429</v>
      </c>
      <c r="BD332" s="71">
        <v>1.3435382E7</v>
      </c>
      <c r="BE332" s="52" t="s">
        <v>3872</v>
      </c>
      <c r="BG332" s="52" t="s">
        <v>2041</v>
      </c>
      <c r="BH332" s="52" t="s">
        <v>1414</v>
      </c>
      <c r="BI332" s="52" t="s">
        <v>3701</v>
      </c>
    </row>
    <row r="333">
      <c r="A333" s="52">
        <v>295.0</v>
      </c>
      <c r="B333" s="52" t="s">
        <v>1399</v>
      </c>
      <c r="C333" s="52" t="s">
        <v>2307</v>
      </c>
      <c r="D333" s="52" t="s">
        <v>1189</v>
      </c>
      <c r="E333" s="52" t="s">
        <v>1908</v>
      </c>
      <c r="F333" s="69">
        <v>45807.0</v>
      </c>
      <c r="G333" s="52" t="s">
        <v>3873</v>
      </c>
      <c r="H333" s="52" t="s">
        <v>41</v>
      </c>
      <c r="I333" s="52" t="s">
        <v>41</v>
      </c>
      <c r="J333" s="52" t="s">
        <v>1470</v>
      </c>
      <c r="K333" s="52" t="s">
        <v>2029</v>
      </c>
      <c r="O333" s="69">
        <v>45804.0</v>
      </c>
      <c r="P333" s="52">
        <v>2.0251130033553E13</v>
      </c>
      <c r="Q333" s="52" t="s">
        <v>2029</v>
      </c>
      <c r="R333" s="69">
        <v>45804.0</v>
      </c>
      <c r="S333" s="52" t="s">
        <v>3874</v>
      </c>
      <c r="T333" s="52" t="s">
        <v>3875</v>
      </c>
      <c r="V333" s="52" t="s">
        <v>581</v>
      </c>
      <c r="W333" s="52" t="s">
        <v>1555</v>
      </c>
      <c r="X333" s="52" t="s">
        <v>1030</v>
      </c>
      <c r="Y333" s="52" t="s">
        <v>1400</v>
      </c>
      <c r="Z333" s="52" t="s">
        <v>1333</v>
      </c>
      <c r="AA333" s="52" t="s">
        <v>39</v>
      </c>
      <c r="AB333" s="52" t="s">
        <v>39</v>
      </c>
      <c r="AC333" s="52" t="s">
        <v>39</v>
      </c>
      <c r="AG333" s="52">
        <v>126.0</v>
      </c>
      <c r="AH333" s="52" t="s">
        <v>39</v>
      </c>
      <c r="AI333" s="52" t="s">
        <v>3876</v>
      </c>
      <c r="AJ333" s="52" t="s">
        <v>3877</v>
      </c>
      <c r="AK333" s="52" t="s">
        <v>3842</v>
      </c>
      <c r="AL333" s="52" t="s">
        <v>3878</v>
      </c>
      <c r="AN333" s="52" t="s">
        <v>3878</v>
      </c>
      <c r="AP333" s="52">
        <v>31225.0</v>
      </c>
      <c r="AQ333" s="52">
        <v>43325.0</v>
      </c>
      <c r="AR333" s="52" t="s">
        <v>1402</v>
      </c>
      <c r="AS333" s="52" t="s">
        <v>39</v>
      </c>
      <c r="AT333" s="52" t="s">
        <v>39</v>
      </c>
      <c r="AU333" s="69">
        <v>45817.0</v>
      </c>
      <c r="AV333" s="70">
        <v>46022.0</v>
      </c>
      <c r="AX333" s="52" t="s">
        <v>1262</v>
      </c>
      <c r="AY333" s="52">
        <v>205.0</v>
      </c>
      <c r="AZ333" s="52" t="s">
        <v>39</v>
      </c>
      <c r="BA333" s="73" t="s">
        <v>3879</v>
      </c>
      <c r="BC333" s="52" t="s">
        <v>3612</v>
      </c>
      <c r="BD333" s="52">
        <v>1.022331975E9</v>
      </c>
      <c r="BE333" s="52" t="s">
        <v>3613</v>
      </c>
      <c r="BG333" s="52" t="s">
        <v>2041</v>
      </c>
      <c r="BH333" s="52" t="s">
        <v>1417</v>
      </c>
      <c r="BI333" s="52" t="s">
        <v>3880</v>
      </c>
    </row>
    <row r="334">
      <c r="A334" s="52">
        <v>296.0</v>
      </c>
      <c r="B334" s="52" t="s">
        <v>1404</v>
      </c>
      <c r="C334" s="52" t="s">
        <v>2005</v>
      </c>
      <c r="D334" s="52">
        <v>1.018491647E9</v>
      </c>
      <c r="E334" s="52" t="s">
        <v>1908</v>
      </c>
      <c r="F334" s="69">
        <v>45812.0</v>
      </c>
      <c r="G334" s="52" t="s">
        <v>1406</v>
      </c>
      <c r="H334" s="52" t="s">
        <v>2008</v>
      </c>
      <c r="I334" s="52" t="s">
        <v>2008</v>
      </c>
      <c r="J334" s="52" t="s">
        <v>1470</v>
      </c>
      <c r="K334" s="52" t="s">
        <v>2612</v>
      </c>
      <c r="L334" s="52" t="s">
        <v>2010</v>
      </c>
      <c r="N334" s="52" t="s">
        <v>2010</v>
      </c>
      <c r="O334" s="69">
        <v>45806.0</v>
      </c>
      <c r="P334" s="52">
        <v>2.0251610034013E13</v>
      </c>
      <c r="Q334" s="52" t="s">
        <v>2612</v>
      </c>
      <c r="R334" s="69">
        <v>45806.0</v>
      </c>
      <c r="S334" s="52" t="s">
        <v>3881</v>
      </c>
      <c r="T334" s="52" t="s">
        <v>2013</v>
      </c>
      <c r="U334" s="52" t="s">
        <v>3882</v>
      </c>
      <c r="V334" s="52" t="s">
        <v>581</v>
      </c>
      <c r="W334" s="52" t="s">
        <v>1471</v>
      </c>
      <c r="X334" s="52" t="s">
        <v>583</v>
      </c>
      <c r="Y334" s="52" t="s">
        <v>1405</v>
      </c>
      <c r="Z334" s="52" t="s">
        <v>2015</v>
      </c>
      <c r="AA334" s="52" t="s">
        <v>2016</v>
      </c>
      <c r="AB334" s="52" t="s">
        <v>2032</v>
      </c>
      <c r="AC334" s="52" t="s">
        <v>2018</v>
      </c>
      <c r="AG334" s="52">
        <v>126.0</v>
      </c>
      <c r="AH334" s="52" t="s">
        <v>1744</v>
      </c>
      <c r="AI334" s="52" t="s">
        <v>3883</v>
      </c>
      <c r="AJ334" s="52" t="s">
        <v>3883</v>
      </c>
      <c r="AK334" s="52" t="s">
        <v>3842</v>
      </c>
      <c r="AL334" s="52" t="s">
        <v>3884</v>
      </c>
      <c r="AN334" s="52" t="s">
        <v>3884</v>
      </c>
      <c r="AP334" s="52">
        <v>34525.0</v>
      </c>
      <c r="AQ334" s="52">
        <v>43725.0</v>
      </c>
      <c r="AR334" s="52" t="s">
        <v>91</v>
      </c>
      <c r="AS334" s="69">
        <v>45814.0</v>
      </c>
      <c r="AT334" s="70">
        <v>46022.0</v>
      </c>
      <c r="AU334" s="69">
        <v>45814.0</v>
      </c>
      <c r="AV334" s="70">
        <v>46022.0</v>
      </c>
      <c r="AX334" s="52" t="s">
        <v>1262</v>
      </c>
      <c r="AY334" s="52">
        <v>208.0</v>
      </c>
      <c r="AZ334" s="52" t="s">
        <v>39</v>
      </c>
      <c r="BA334" s="73" t="s">
        <v>3885</v>
      </c>
      <c r="BB334" s="69">
        <v>45814.0</v>
      </c>
      <c r="BC334" s="52" t="s">
        <v>164</v>
      </c>
      <c r="BD334" s="52">
        <v>1.119667829E9</v>
      </c>
      <c r="BE334" s="52" t="s">
        <v>2199</v>
      </c>
      <c r="BG334" s="52" t="s">
        <v>2041</v>
      </c>
      <c r="BH334" s="52" t="s">
        <v>3886</v>
      </c>
      <c r="BI334" s="52" t="s">
        <v>3880</v>
      </c>
    </row>
    <row r="335">
      <c r="A335" s="52">
        <v>297.0</v>
      </c>
      <c r="B335" s="52" t="s">
        <v>1408</v>
      </c>
      <c r="C335" s="52" t="s">
        <v>2005</v>
      </c>
      <c r="D335" s="52">
        <v>1.007536412E9</v>
      </c>
      <c r="E335" s="52" t="s">
        <v>1908</v>
      </c>
      <c r="F335" s="69">
        <v>45812.0</v>
      </c>
      <c r="G335" s="52" t="s">
        <v>1409</v>
      </c>
      <c r="H335" s="52" t="s">
        <v>2008</v>
      </c>
      <c r="I335" s="52" t="s">
        <v>2008</v>
      </c>
      <c r="J335" s="52" t="s">
        <v>1470</v>
      </c>
      <c r="K335" s="52" t="s">
        <v>2612</v>
      </c>
      <c r="L335" s="52" t="s">
        <v>2010</v>
      </c>
      <c r="N335" s="52" t="s">
        <v>2010</v>
      </c>
      <c r="O335" s="69">
        <v>45806.0</v>
      </c>
      <c r="P335" s="52">
        <v>2.0251610034063E13</v>
      </c>
      <c r="Q335" s="52" t="s">
        <v>2612</v>
      </c>
      <c r="R335" s="69">
        <v>45806.0</v>
      </c>
      <c r="S335" s="52" t="s">
        <v>3887</v>
      </c>
      <c r="T335" s="52" t="s">
        <v>2013</v>
      </c>
      <c r="U335" s="52" t="s">
        <v>3888</v>
      </c>
      <c r="V335" s="52" t="s">
        <v>581</v>
      </c>
      <c r="W335" s="52" t="s">
        <v>1471</v>
      </c>
      <c r="X335" s="52" t="s">
        <v>583</v>
      </c>
      <c r="Y335" s="52" t="s">
        <v>1405</v>
      </c>
      <c r="Z335" s="52" t="s">
        <v>2015</v>
      </c>
      <c r="AA335" s="52" t="s">
        <v>2016</v>
      </c>
      <c r="AB335" s="52" t="s">
        <v>2032</v>
      </c>
      <c r="AC335" s="52" t="s">
        <v>2082</v>
      </c>
      <c r="AG335" s="52">
        <v>126.0</v>
      </c>
      <c r="AH335" s="52" t="s">
        <v>3889</v>
      </c>
      <c r="AI335" s="52" t="s">
        <v>3890</v>
      </c>
    </row>
    <row r="336">
      <c r="B336" s="52" t="s">
        <v>3890</v>
      </c>
      <c r="C336" s="52" t="s">
        <v>3842</v>
      </c>
      <c r="D336" s="52" t="s">
        <v>3891</v>
      </c>
      <c r="H336" s="52">
        <v>34025.0</v>
      </c>
      <c r="I336" s="52">
        <v>43625.0</v>
      </c>
      <c r="J336" s="52" t="s">
        <v>91</v>
      </c>
      <c r="K336" s="69">
        <v>45814.0</v>
      </c>
      <c r="L336" s="70">
        <v>46022.0</v>
      </c>
      <c r="M336" s="69">
        <v>45814.0</v>
      </c>
      <c r="N336" s="70">
        <v>46022.0</v>
      </c>
      <c r="P336" s="52" t="s">
        <v>1262</v>
      </c>
      <c r="Q336" s="52">
        <v>208.0</v>
      </c>
      <c r="R336" s="52" t="s">
        <v>39</v>
      </c>
      <c r="S336" s="73" t="s">
        <v>3892</v>
      </c>
      <c r="T336" s="69">
        <v>45814.0</v>
      </c>
      <c r="U336" s="52" t="s">
        <v>557</v>
      </c>
      <c r="V336" s="52">
        <v>7.9954284E7</v>
      </c>
      <c r="W336" s="52" t="s">
        <v>2694</v>
      </c>
      <c r="Y336" s="52" t="s">
        <v>2041</v>
      </c>
      <c r="Z336" s="52" t="s">
        <v>3893</v>
      </c>
      <c r="AA336" s="52" t="s">
        <v>3880</v>
      </c>
    </row>
    <row r="337">
      <c r="A337" s="52">
        <v>298.0</v>
      </c>
      <c r="B337" s="52" t="s">
        <v>1412</v>
      </c>
      <c r="C337" s="52" t="s">
        <v>2005</v>
      </c>
      <c r="D337" s="52">
        <v>1.101697356E9</v>
      </c>
      <c r="E337" s="52" t="s">
        <v>1908</v>
      </c>
      <c r="F337" s="69">
        <v>45818.0</v>
      </c>
      <c r="G337" s="52" t="s">
        <v>1413</v>
      </c>
      <c r="H337" s="52" t="s">
        <v>2008</v>
      </c>
      <c r="I337" s="52" t="s">
        <v>2008</v>
      </c>
      <c r="J337" s="52" t="s">
        <v>1470</v>
      </c>
      <c r="K337" s="52" t="s">
        <v>2612</v>
      </c>
      <c r="L337" s="52" t="s">
        <v>2010</v>
      </c>
      <c r="N337" s="52" t="s">
        <v>2010</v>
      </c>
      <c r="O337" s="69">
        <v>45806.0</v>
      </c>
      <c r="P337" s="52">
        <v>2.0251610034083E13</v>
      </c>
      <c r="Q337" s="52" t="s">
        <v>2612</v>
      </c>
      <c r="R337" s="69">
        <v>45806.0</v>
      </c>
      <c r="S337" s="52" t="s">
        <v>3894</v>
      </c>
      <c r="T337" s="52" t="s">
        <v>2013</v>
      </c>
      <c r="U337" s="52" t="s">
        <v>3895</v>
      </c>
      <c r="V337" s="52" t="s">
        <v>581</v>
      </c>
      <c r="W337" s="52" t="s">
        <v>1471</v>
      </c>
      <c r="X337" s="52" t="s">
        <v>583</v>
      </c>
      <c r="Y337" s="52" t="s">
        <v>1405</v>
      </c>
      <c r="Z337" s="52" t="s">
        <v>2081</v>
      </c>
      <c r="AA337" s="52" t="s">
        <v>2016</v>
      </c>
      <c r="AB337" s="52" t="s">
        <v>2062</v>
      </c>
      <c r="AC337" s="52" t="s">
        <v>2082</v>
      </c>
      <c r="AG337" s="52">
        <v>126.0</v>
      </c>
      <c r="AH337" s="52" t="s">
        <v>1526</v>
      </c>
      <c r="AI337" s="52" t="s">
        <v>2694</v>
      </c>
      <c r="AJ337" s="52" t="s">
        <v>3896</v>
      </c>
      <c r="AK337" s="52" t="s">
        <v>3897</v>
      </c>
      <c r="AL337" s="52" t="s">
        <v>3884</v>
      </c>
      <c r="AP337" s="52">
        <v>33125.0</v>
      </c>
      <c r="AQ337" s="52">
        <v>44125.0</v>
      </c>
      <c r="AR337" s="52" t="s">
        <v>91</v>
      </c>
      <c r="AS337" s="69">
        <v>45821.0</v>
      </c>
      <c r="AT337" s="70">
        <v>46022.0</v>
      </c>
      <c r="AU337" s="69">
        <v>45821.0</v>
      </c>
      <c r="AV337" s="70">
        <v>46022.0</v>
      </c>
      <c r="AX337" s="52" t="s">
        <v>1262</v>
      </c>
      <c r="AY337" s="52">
        <v>201.0</v>
      </c>
      <c r="AZ337" s="52" t="s">
        <v>39</v>
      </c>
      <c r="BA337" s="73" t="s">
        <v>3898</v>
      </c>
      <c r="BB337" s="69">
        <v>45821.0</v>
      </c>
      <c r="BC337" s="52" t="s">
        <v>557</v>
      </c>
      <c r="BD337" s="52">
        <v>7.9954284E7</v>
      </c>
      <c r="BE337" s="52" t="s">
        <v>2694</v>
      </c>
      <c r="BG337" s="52" t="s">
        <v>2041</v>
      </c>
      <c r="BH337" s="52" t="s">
        <v>3899</v>
      </c>
      <c r="BI337" s="52" t="s">
        <v>3880</v>
      </c>
    </row>
    <row r="338">
      <c r="A338" s="52">
        <v>299.0</v>
      </c>
      <c r="B338" s="52" t="s">
        <v>1415</v>
      </c>
      <c r="E338" s="52" t="s">
        <v>1908</v>
      </c>
      <c r="G338" s="52" t="s">
        <v>1416</v>
      </c>
      <c r="H338" s="52" t="s">
        <v>2008</v>
      </c>
      <c r="I338" s="52" t="s">
        <v>2008</v>
      </c>
      <c r="J338" s="52" t="s">
        <v>1470</v>
      </c>
      <c r="K338" s="52" t="s">
        <v>2612</v>
      </c>
      <c r="L338" s="52" t="s">
        <v>2010</v>
      </c>
      <c r="N338" s="52" t="s">
        <v>2010</v>
      </c>
      <c r="O338" s="69">
        <v>45806.0</v>
      </c>
      <c r="P338" s="52">
        <v>2.0251610034073E13</v>
      </c>
      <c r="Q338" s="52" t="s">
        <v>2612</v>
      </c>
      <c r="R338" s="69">
        <v>45806.0</v>
      </c>
      <c r="S338" s="52" t="s">
        <v>3900</v>
      </c>
      <c r="T338" s="52" t="s">
        <v>3901</v>
      </c>
      <c r="U338" s="52" t="s">
        <v>3902</v>
      </c>
      <c r="AG338" s="52">
        <v>126.0</v>
      </c>
      <c r="AY338" s="52">
        <v>0.0</v>
      </c>
      <c r="AZ338" s="52" t="s">
        <v>39</v>
      </c>
      <c r="BH338" s="52" t="s">
        <v>3903</v>
      </c>
    </row>
    <row r="339">
      <c r="A339" s="52">
        <v>300.0</v>
      </c>
      <c r="C339" s="52" t="e">
        <v>#N/A</v>
      </c>
      <c r="D339" s="52" t="e">
        <v>#N/A</v>
      </c>
      <c r="E339" s="52" t="e">
        <v>#N/A</v>
      </c>
      <c r="F339" s="52" t="e">
        <v>#N/A</v>
      </c>
      <c r="G339" s="52" t="e">
        <v>#N/A</v>
      </c>
      <c r="H339" s="52" t="e">
        <v>#N/A</v>
      </c>
      <c r="I339" s="52" t="e">
        <v>#N/A</v>
      </c>
      <c r="J339" s="52" t="e">
        <v>#N/A</v>
      </c>
      <c r="K339" s="52" t="e">
        <v>#N/A</v>
      </c>
      <c r="L339" s="52" t="e">
        <v>#N/A</v>
      </c>
      <c r="N339" s="52" t="e">
        <v>#N/A</v>
      </c>
      <c r="O339" s="52" t="e">
        <v>#N/A</v>
      </c>
      <c r="P339" s="52" t="e">
        <v>#N/A</v>
      </c>
      <c r="Q339" s="52" t="e">
        <v>#N/A</v>
      </c>
      <c r="R339" s="52" t="e">
        <v>#N/A</v>
      </c>
      <c r="S339" s="52" t="e">
        <v>#N/A</v>
      </c>
      <c r="T339" s="52" t="e">
        <v>#N/A</v>
      </c>
      <c r="U339" s="52" t="e">
        <v>#N/A</v>
      </c>
      <c r="V339" s="52" t="e">
        <v>#N/A</v>
      </c>
      <c r="W339" s="52" t="e">
        <v>#N/A</v>
      </c>
      <c r="X339" s="52" t="e">
        <v>#N/A</v>
      </c>
      <c r="Y339" s="52" t="e">
        <v>#N/A</v>
      </c>
      <c r="Z339" s="52" t="e">
        <v>#N/A</v>
      </c>
      <c r="AA339" s="52" t="e">
        <v>#N/A</v>
      </c>
      <c r="AB339" s="52" t="e">
        <v>#N/A</v>
      </c>
      <c r="AC339" s="52" t="e">
        <v>#N/A</v>
      </c>
      <c r="AG339" s="52">
        <v>126.0</v>
      </c>
      <c r="AH339" s="52" t="e">
        <v>#N/A</v>
      </c>
      <c r="AI339" s="52" t="e">
        <v>#N/A</v>
      </c>
      <c r="AJ339" s="52" t="e">
        <v>#N/A</v>
      </c>
      <c r="AK339" s="52" t="e">
        <v>#N/A</v>
      </c>
      <c r="AL339" s="52" t="e">
        <v>#N/A</v>
      </c>
      <c r="AP339" s="52" t="e">
        <v>#N/A</v>
      </c>
      <c r="AQ339" s="52" t="e">
        <v>#N/A</v>
      </c>
      <c r="AR339" s="52" t="e">
        <v>#N/A</v>
      </c>
      <c r="AS339" s="52" t="e">
        <v>#N/A</v>
      </c>
      <c r="AT339" s="52" t="e">
        <v>#N/A</v>
      </c>
      <c r="AU339" s="52" t="e">
        <v>#N/A</v>
      </c>
      <c r="AV339" s="52" t="e">
        <v>#N/A</v>
      </c>
      <c r="AX339" s="52" t="e">
        <v>#N/A</v>
      </c>
      <c r="AY339" s="52" t="e">
        <v>#N/A</v>
      </c>
      <c r="AZ339" s="52" t="s">
        <v>39</v>
      </c>
      <c r="BA339" s="52" t="e">
        <v>#N/A</v>
      </c>
      <c r="BB339" s="52" t="e">
        <v>#N/A</v>
      </c>
      <c r="BC339" s="52" t="e">
        <v>#N/A</v>
      </c>
      <c r="BD339" s="52" t="e">
        <v>#N/A</v>
      </c>
      <c r="BE339" s="52" t="e">
        <v>#N/A</v>
      </c>
      <c r="BG339" s="52" t="e">
        <v>#N/A</v>
      </c>
      <c r="BH339" s="52" t="e">
        <v>#N/A</v>
      </c>
      <c r="BI339" s="52" t="e">
        <v>#N/A</v>
      </c>
    </row>
    <row r="340">
      <c r="A340" s="52">
        <v>301.0</v>
      </c>
      <c r="C340" s="52" t="e">
        <v>#N/A</v>
      </c>
      <c r="D340" s="52" t="e">
        <v>#N/A</v>
      </c>
      <c r="E340" s="52" t="e">
        <v>#N/A</v>
      </c>
      <c r="F340" s="52" t="e">
        <v>#N/A</v>
      </c>
      <c r="G340" s="52" t="e">
        <v>#N/A</v>
      </c>
      <c r="H340" s="52" t="e">
        <v>#N/A</v>
      </c>
      <c r="I340" s="52" t="e">
        <v>#N/A</v>
      </c>
      <c r="J340" s="52" t="e">
        <v>#N/A</v>
      </c>
      <c r="K340" s="52" t="e">
        <v>#N/A</v>
      </c>
      <c r="L340" s="52" t="e">
        <v>#N/A</v>
      </c>
      <c r="N340" s="52" t="e">
        <v>#N/A</v>
      </c>
      <c r="O340" s="52" t="e">
        <v>#N/A</v>
      </c>
      <c r="P340" s="52" t="e">
        <v>#N/A</v>
      </c>
      <c r="Q340" s="52" t="e">
        <v>#N/A</v>
      </c>
      <c r="R340" s="52" t="e">
        <v>#N/A</v>
      </c>
      <c r="S340" s="52" t="e">
        <v>#N/A</v>
      </c>
      <c r="T340" s="52" t="e">
        <v>#N/A</v>
      </c>
      <c r="U340" s="52" t="e">
        <v>#N/A</v>
      </c>
      <c r="V340" s="52" t="e">
        <v>#N/A</v>
      </c>
      <c r="W340" s="52" t="e">
        <v>#N/A</v>
      </c>
      <c r="X340" s="52" t="e">
        <v>#N/A</v>
      </c>
      <c r="Y340" s="52" t="e">
        <v>#N/A</v>
      </c>
      <c r="Z340" s="52" t="e">
        <v>#N/A</v>
      </c>
      <c r="AA340" s="52" t="e">
        <v>#N/A</v>
      </c>
      <c r="AB340" s="52" t="e">
        <v>#N/A</v>
      </c>
      <c r="AC340" s="52" t="e">
        <v>#N/A</v>
      </c>
      <c r="AG340" s="52">
        <v>126.0</v>
      </c>
      <c r="AH340" s="52" t="e">
        <v>#N/A</v>
      </c>
      <c r="AI340" s="52" t="e">
        <v>#N/A</v>
      </c>
      <c r="AJ340" s="52" t="e">
        <v>#N/A</v>
      </c>
      <c r="AK340" s="52" t="e">
        <v>#N/A</v>
      </c>
      <c r="AL340" s="52" t="e">
        <v>#N/A</v>
      </c>
      <c r="AP340" s="52" t="e">
        <v>#N/A</v>
      </c>
      <c r="AQ340" s="52" t="e">
        <v>#N/A</v>
      </c>
      <c r="AR340" s="52" t="e">
        <v>#N/A</v>
      </c>
      <c r="AS340" s="52" t="e">
        <v>#N/A</v>
      </c>
      <c r="AT340" s="52" t="e">
        <v>#N/A</v>
      </c>
      <c r="AU340" s="52" t="e">
        <v>#N/A</v>
      </c>
      <c r="AV340" s="52" t="e">
        <v>#N/A</v>
      </c>
      <c r="AX340" s="52" t="e">
        <v>#N/A</v>
      </c>
      <c r="AY340" s="52" t="e">
        <v>#N/A</v>
      </c>
      <c r="AZ340" s="52" t="s">
        <v>39</v>
      </c>
      <c r="BA340" s="52" t="e">
        <v>#N/A</v>
      </c>
      <c r="BB340" s="52" t="e">
        <v>#N/A</v>
      </c>
      <c r="BC340" s="52" t="e">
        <v>#N/A</v>
      </c>
      <c r="BD340" s="52" t="e">
        <v>#N/A</v>
      </c>
      <c r="BE340" s="52" t="e">
        <v>#N/A</v>
      </c>
      <c r="BG340" s="52" t="e">
        <v>#N/A</v>
      </c>
      <c r="BH340" s="52" t="e">
        <v>#N/A</v>
      </c>
      <c r="BI340" s="52" t="e">
        <v>#N/A</v>
      </c>
    </row>
    <row r="341">
      <c r="A341" s="52">
        <v>302.0</v>
      </c>
      <c r="C341" s="52" t="e">
        <v>#N/A</v>
      </c>
      <c r="D341" s="52" t="e">
        <v>#N/A</v>
      </c>
      <c r="E341" s="52" t="e">
        <v>#N/A</v>
      </c>
      <c r="F341" s="52" t="e">
        <v>#N/A</v>
      </c>
      <c r="G341" s="52" t="e">
        <v>#N/A</v>
      </c>
      <c r="H341" s="52" t="e">
        <v>#N/A</v>
      </c>
      <c r="I341" s="52" t="e">
        <v>#N/A</v>
      </c>
      <c r="J341" s="52" t="e">
        <v>#N/A</v>
      </c>
      <c r="K341" s="52" t="e">
        <v>#N/A</v>
      </c>
      <c r="L341" s="52" t="e">
        <v>#N/A</v>
      </c>
      <c r="N341" s="52" t="e">
        <v>#N/A</v>
      </c>
      <c r="O341" s="52" t="e">
        <v>#N/A</v>
      </c>
      <c r="P341" s="52" t="e">
        <v>#N/A</v>
      </c>
      <c r="Q341" s="52" t="e">
        <v>#N/A</v>
      </c>
      <c r="R341" s="52" t="e">
        <v>#N/A</v>
      </c>
      <c r="S341" s="52" t="e">
        <v>#N/A</v>
      </c>
      <c r="T341" s="52" t="e">
        <v>#N/A</v>
      </c>
      <c r="U341" s="52" t="e">
        <v>#N/A</v>
      </c>
      <c r="V341" s="52" t="e">
        <v>#N/A</v>
      </c>
      <c r="W341" s="52" t="e">
        <v>#N/A</v>
      </c>
      <c r="X341" s="52" t="e">
        <v>#N/A</v>
      </c>
      <c r="Y341" s="52" t="e">
        <v>#N/A</v>
      </c>
      <c r="Z341" s="52" t="e">
        <v>#N/A</v>
      </c>
      <c r="AA341" s="52" t="e">
        <v>#N/A</v>
      </c>
      <c r="AB341" s="52" t="e">
        <v>#N/A</v>
      </c>
      <c r="AC341" s="52" t="e">
        <v>#N/A</v>
      </c>
      <c r="AG341" s="52">
        <v>126.0</v>
      </c>
      <c r="AH341" s="52" t="e">
        <v>#N/A</v>
      </c>
      <c r="AI341" s="52" t="e">
        <v>#N/A</v>
      </c>
      <c r="AJ341" s="52" t="e">
        <v>#N/A</v>
      </c>
      <c r="AK341" s="52" t="e">
        <v>#N/A</v>
      </c>
      <c r="AL341" s="52" t="e">
        <v>#N/A</v>
      </c>
      <c r="AP341" s="52" t="e">
        <v>#N/A</v>
      </c>
      <c r="AQ341" s="52" t="e">
        <v>#N/A</v>
      </c>
      <c r="AR341" s="52" t="e">
        <v>#N/A</v>
      </c>
      <c r="AS341" s="52" t="e">
        <v>#N/A</v>
      </c>
      <c r="AT341" s="52" t="e">
        <v>#N/A</v>
      </c>
      <c r="AU341" s="52" t="e">
        <v>#N/A</v>
      </c>
      <c r="AV341" s="52" t="e">
        <v>#N/A</v>
      </c>
      <c r="AX341" s="52" t="e">
        <v>#N/A</v>
      </c>
      <c r="AY341" s="52" t="e">
        <v>#N/A</v>
      </c>
      <c r="AZ341" s="52" t="s">
        <v>39</v>
      </c>
      <c r="BA341" s="52" t="e">
        <v>#N/A</v>
      </c>
      <c r="BB341" s="52" t="e">
        <v>#N/A</v>
      </c>
      <c r="BC341" s="52" t="e">
        <v>#N/A</v>
      </c>
      <c r="BD341" s="52" t="e">
        <v>#N/A</v>
      </c>
      <c r="BE341" s="52" t="e">
        <v>#N/A</v>
      </c>
      <c r="BG341" s="52" t="e">
        <v>#N/A</v>
      </c>
      <c r="BH341" s="52" t="e">
        <v>#N/A</v>
      </c>
      <c r="BI341" s="52" t="e">
        <v>#N/A</v>
      </c>
    </row>
    <row r="342">
      <c r="A342" s="52">
        <v>303.0</v>
      </c>
      <c r="C342" s="52" t="e">
        <v>#N/A</v>
      </c>
      <c r="D342" s="52" t="e">
        <v>#N/A</v>
      </c>
      <c r="E342" s="52" t="e">
        <v>#N/A</v>
      </c>
      <c r="F342" s="52" t="e">
        <v>#N/A</v>
      </c>
      <c r="G342" s="52" t="e">
        <v>#N/A</v>
      </c>
      <c r="H342" s="52" t="e">
        <v>#N/A</v>
      </c>
      <c r="I342" s="52" t="e">
        <v>#N/A</v>
      </c>
      <c r="J342" s="52" t="e">
        <v>#N/A</v>
      </c>
      <c r="K342" s="52" t="e">
        <v>#N/A</v>
      </c>
      <c r="L342" s="52" t="e">
        <v>#N/A</v>
      </c>
      <c r="N342" s="52" t="e">
        <v>#N/A</v>
      </c>
      <c r="O342" s="52" t="e">
        <v>#N/A</v>
      </c>
      <c r="P342" s="52" t="e">
        <v>#N/A</v>
      </c>
      <c r="Q342" s="52" t="e">
        <v>#N/A</v>
      </c>
      <c r="R342" s="52" t="e">
        <v>#N/A</v>
      </c>
      <c r="S342" s="52" t="e">
        <v>#N/A</v>
      </c>
      <c r="T342" s="52" t="e">
        <v>#N/A</v>
      </c>
      <c r="U342" s="52" t="e">
        <v>#N/A</v>
      </c>
      <c r="V342" s="52" t="e">
        <v>#N/A</v>
      </c>
      <c r="W342" s="52" t="e">
        <v>#N/A</v>
      </c>
      <c r="X342" s="52" t="e">
        <v>#N/A</v>
      </c>
      <c r="Y342" s="52" t="e">
        <v>#N/A</v>
      </c>
      <c r="Z342" s="52" t="e">
        <v>#N/A</v>
      </c>
      <c r="AA342" s="52" t="e">
        <v>#N/A</v>
      </c>
      <c r="AB342" s="52" t="e">
        <v>#N/A</v>
      </c>
      <c r="AC342" s="52" t="e">
        <v>#N/A</v>
      </c>
      <c r="AG342" s="52">
        <v>126.0</v>
      </c>
      <c r="AH342" s="52" t="e">
        <v>#N/A</v>
      </c>
      <c r="AI342" s="52" t="e">
        <v>#N/A</v>
      </c>
      <c r="AJ342" s="52" t="e">
        <v>#N/A</v>
      </c>
      <c r="AK342" s="52" t="e">
        <v>#N/A</v>
      </c>
      <c r="AL342" s="52" t="e">
        <v>#N/A</v>
      </c>
      <c r="AP342" s="52" t="e">
        <v>#N/A</v>
      </c>
      <c r="AQ342" s="52" t="e">
        <v>#N/A</v>
      </c>
      <c r="AR342" s="52" t="e">
        <v>#N/A</v>
      </c>
      <c r="AS342" s="52" t="e">
        <v>#N/A</v>
      </c>
      <c r="AT342" s="52" t="e">
        <v>#N/A</v>
      </c>
      <c r="AU342" s="52" t="e">
        <v>#N/A</v>
      </c>
      <c r="AV342" s="52" t="e">
        <v>#N/A</v>
      </c>
      <c r="AX342" s="52" t="e">
        <v>#N/A</v>
      </c>
      <c r="AY342" s="52" t="e">
        <v>#N/A</v>
      </c>
      <c r="AZ342" s="52" t="s">
        <v>39</v>
      </c>
      <c r="BA342" s="52" t="e">
        <v>#N/A</v>
      </c>
      <c r="BB342" s="52" t="e">
        <v>#N/A</v>
      </c>
      <c r="BC342" s="52" t="e">
        <v>#N/A</v>
      </c>
      <c r="BD342" s="52" t="e">
        <v>#N/A</v>
      </c>
      <c r="BE342" s="52" t="e">
        <v>#N/A</v>
      </c>
      <c r="BG342" s="52" t="e">
        <v>#N/A</v>
      </c>
      <c r="BH342" s="52" t="e">
        <v>#N/A</v>
      </c>
      <c r="BI342" s="52" t="e">
        <v>#N/A</v>
      </c>
    </row>
    <row r="343">
      <c r="A343" s="52">
        <v>304.0</v>
      </c>
      <c r="D343" s="52" t="e">
        <v>#N/A</v>
      </c>
      <c r="F343" s="52" t="e">
        <v>#N/A</v>
      </c>
      <c r="G343" s="52" t="e">
        <v>#N/A</v>
      </c>
      <c r="H343" s="52" t="e">
        <v>#N/A</v>
      </c>
      <c r="I343" s="52" t="e">
        <v>#N/A</v>
      </c>
      <c r="J343" s="52" t="e">
        <v>#N/A</v>
      </c>
      <c r="K343" s="52" t="e">
        <v>#N/A</v>
      </c>
      <c r="L343" s="52" t="e">
        <v>#N/A</v>
      </c>
      <c r="N343" s="52" t="e">
        <v>#N/A</v>
      </c>
      <c r="O343" s="52" t="e">
        <v>#N/A</v>
      </c>
      <c r="P343" s="52" t="e">
        <v>#N/A</v>
      </c>
      <c r="Q343" s="52" t="e">
        <v>#N/A</v>
      </c>
      <c r="R343" s="52" t="e">
        <v>#N/A</v>
      </c>
      <c r="S343" s="52" t="e">
        <v>#N/A</v>
      </c>
      <c r="T343" s="52" t="e">
        <v>#N/A</v>
      </c>
      <c r="U343" s="52" t="e">
        <v>#N/A</v>
      </c>
      <c r="V343" s="52" t="e">
        <v>#N/A</v>
      </c>
      <c r="W343" s="52" t="e">
        <v>#N/A</v>
      </c>
      <c r="X343" s="52" t="e">
        <v>#N/A</v>
      </c>
      <c r="Y343" s="52" t="e">
        <v>#N/A</v>
      </c>
      <c r="Z343" s="52" t="e">
        <v>#N/A</v>
      </c>
      <c r="AA343" s="52" t="e">
        <v>#N/A</v>
      </c>
      <c r="AB343" s="52" t="e">
        <v>#N/A</v>
      </c>
      <c r="AC343" s="52" t="e">
        <v>#N/A</v>
      </c>
      <c r="AG343" s="52">
        <v>126.0</v>
      </c>
      <c r="AH343" s="52" t="e">
        <v>#N/A</v>
      </c>
      <c r="AI343" s="52" t="e">
        <v>#N/A</v>
      </c>
      <c r="AJ343" s="52" t="e">
        <v>#N/A</v>
      </c>
      <c r="AK343" s="52" t="e">
        <v>#N/A</v>
      </c>
      <c r="AL343" s="52" t="e">
        <v>#N/A</v>
      </c>
      <c r="AP343" s="52" t="e">
        <v>#N/A</v>
      </c>
      <c r="AQ343" s="52" t="e">
        <v>#N/A</v>
      </c>
      <c r="AR343" s="52" t="e">
        <v>#N/A</v>
      </c>
      <c r="AS343" s="52" t="e">
        <v>#N/A</v>
      </c>
      <c r="AT343" s="52" t="e">
        <v>#N/A</v>
      </c>
      <c r="AU343" s="52" t="e">
        <v>#N/A</v>
      </c>
      <c r="AV343" s="52" t="e">
        <v>#N/A</v>
      </c>
      <c r="AX343" s="52" t="e">
        <v>#N/A</v>
      </c>
      <c r="AY343" s="52" t="e">
        <v>#N/A</v>
      </c>
      <c r="AZ343" s="52" t="s">
        <v>39</v>
      </c>
      <c r="BA343" s="52" t="e">
        <v>#N/A</v>
      </c>
      <c r="BB343" s="52" t="e">
        <v>#N/A</v>
      </c>
      <c r="BC343" s="52" t="e">
        <v>#N/A</v>
      </c>
      <c r="BD343" s="52" t="e">
        <v>#N/A</v>
      </c>
      <c r="BE343" s="52" t="e">
        <v>#N/A</v>
      </c>
      <c r="BG343" s="52" t="e">
        <v>#N/A</v>
      </c>
      <c r="BH343" s="52" t="e">
        <v>#N/A</v>
      </c>
      <c r="BI343" s="52" t="e">
        <v>#N/A</v>
      </c>
    </row>
    <row r="344">
      <c r="A344" s="52">
        <v>305.0</v>
      </c>
      <c r="D344" s="52" t="e">
        <v>#N/A</v>
      </c>
      <c r="G344" s="52" t="e">
        <v>#N/A</v>
      </c>
      <c r="H344" s="52" t="e">
        <v>#N/A</v>
      </c>
      <c r="I344" s="52" t="e">
        <v>#N/A</v>
      </c>
      <c r="J344" s="52" t="e">
        <v>#N/A</v>
      </c>
      <c r="K344" s="52" t="e">
        <v>#N/A</v>
      </c>
      <c r="L344" s="52" t="e">
        <v>#N/A</v>
      </c>
      <c r="N344" s="52" t="e">
        <v>#N/A</v>
      </c>
      <c r="O344" s="52" t="e">
        <v>#N/A</v>
      </c>
      <c r="P344" s="52" t="e">
        <v>#N/A</v>
      </c>
      <c r="Q344" s="52" t="e">
        <v>#N/A</v>
      </c>
      <c r="R344" s="52" t="e">
        <v>#N/A</v>
      </c>
      <c r="S344" s="52" t="e">
        <v>#N/A</v>
      </c>
      <c r="T344" s="52" t="e">
        <v>#N/A</v>
      </c>
      <c r="U344" s="52" t="e">
        <v>#N/A</v>
      </c>
      <c r="V344" s="52" t="e">
        <v>#N/A</v>
      </c>
      <c r="W344" s="52" t="e">
        <v>#N/A</v>
      </c>
      <c r="X344" s="52" t="e">
        <v>#N/A</v>
      </c>
      <c r="Y344" s="52" t="e">
        <v>#N/A</v>
      </c>
      <c r="Z344" s="52" t="e">
        <v>#N/A</v>
      </c>
      <c r="AA344" s="52" t="e">
        <v>#N/A</v>
      </c>
      <c r="AB344" s="52" t="e">
        <v>#N/A</v>
      </c>
      <c r="AC344" s="52" t="e">
        <v>#N/A</v>
      </c>
      <c r="AG344" s="52">
        <v>126.0</v>
      </c>
      <c r="AH344" s="52" t="e">
        <v>#N/A</v>
      </c>
      <c r="AI344" s="52" t="e">
        <v>#N/A</v>
      </c>
      <c r="AJ344" s="52" t="e">
        <v>#N/A</v>
      </c>
      <c r="AK344" s="52" t="e">
        <v>#N/A</v>
      </c>
      <c r="AL344" s="52" t="e">
        <v>#N/A</v>
      </c>
      <c r="AP344" s="52" t="e">
        <v>#N/A</v>
      </c>
      <c r="AQ344" s="52" t="e">
        <v>#N/A</v>
      </c>
      <c r="AR344" s="52" t="e">
        <v>#N/A</v>
      </c>
      <c r="AS344" s="52" t="e">
        <v>#N/A</v>
      </c>
      <c r="AT344" s="52" t="e">
        <v>#N/A</v>
      </c>
      <c r="AU344" s="52" t="e">
        <v>#N/A</v>
      </c>
      <c r="AV344" s="52" t="e">
        <v>#N/A</v>
      </c>
      <c r="AX344" s="52" t="e">
        <v>#N/A</v>
      </c>
      <c r="AY344" s="52" t="e">
        <v>#N/A</v>
      </c>
      <c r="AZ344" s="52" t="s">
        <v>39</v>
      </c>
      <c r="BA344" s="52" t="e">
        <v>#N/A</v>
      </c>
      <c r="BB344" s="52" t="e">
        <v>#N/A</v>
      </c>
      <c r="BC344" s="52" t="e">
        <v>#N/A</v>
      </c>
      <c r="BD344" s="52" t="e">
        <v>#N/A</v>
      </c>
      <c r="BE344" s="52" t="e">
        <v>#N/A</v>
      </c>
      <c r="BG344" s="52" t="e">
        <v>#N/A</v>
      </c>
      <c r="BH344" s="52" t="e">
        <v>#N/A</v>
      </c>
      <c r="BI344" s="52" t="e">
        <v>#N/A</v>
      </c>
    </row>
    <row r="345">
      <c r="A345" s="52">
        <v>306.0</v>
      </c>
      <c r="D345" s="52" t="e">
        <v>#N/A</v>
      </c>
      <c r="H345" s="52" t="e">
        <v>#N/A</v>
      </c>
      <c r="I345" s="52" t="e">
        <v>#N/A</v>
      </c>
      <c r="J345" s="52" t="e">
        <v>#N/A</v>
      </c>
      <c r="K345" s="52" t="e">
        <v>#N/A</v>
      </c>
      <c r="L345" s="52" t="e">
        <v>#N/A</v>
      </c>
      <c r="N345" s="52" t="e">
        <v>#N/A</v>
      </c>
      <c r="O345" s="52" t="e">
        <v>#N/A</v>
      </c>
      <c r="P345" s="52" t="e">
        <v>#N/A</v>
      </c>
      <c r="Q345" s="52" t="e">
        <v>#N/A</v>
      </c>
      <c r="R345" s="52" t="e">
        <v>#N/A</v>
      </c>
      <c r="S345" s="52" t="e">
        <v>#N/A</v>
      </c>
      <c r="T345" s="52" t="e">
        <v>#N/A</v>
      </c>
      <c r="U345" s="52" t="e">
        <v>#N/A</v>
      </c>
      <c r="V345" s="52" t="e">
        <v>#N/A</v>
      </c>
      <c r="W345" s="52" t="e">
        <v>#N/A</v>
      </c>
      <c r="X345" s="52" t="e">
        <v>#N/A</v>
      </c>
      <c r="Y345" s="52" t="e">
        <v>#N/A</v>
      </c>
      <c r="Z345" s="52" t="e">
        <v>#N/A</v>
      </c>
      <c r="AA345" s="52" t="e">
        <v>#N/A</v>
      </c>
      <c r="AB345" s="52" t="e">
        <v>#N/A</v>
      </c>
      <c r="AC345" s="52" t="e">
        <v>#N/A</v>
      </c>
      <c r="AG345" s="52">
        <v>126.0</v>
      </c>
      <c r="AH345" s="52" t="e">
        <v>#N/A</v>
      </c>
      <c r="AI345" s="52" t="e">
        <v>#N/A</v>
      </c>
      <c r="AJ345" s="52" t="e">
        <v>#N/A</v>
      </c>
      <c r="AK345" s="52" t="e">
        <v>#N/A</v>
      </c>
      <c r="AL345" s="52" t="e">
        <v>#N/A</v>
      </c>
      <c r="AP345" s="52" t="e">
        <v>#N/A</v>
      </c>
      <c r="AQ345" s="52" t="e">
        <v>#N/A</v>
      </c>
      <c r="AR345" s="52" t="e">
        <v>#N/A</v>
      </c>
      <c r="AS345" s="52" t="e">
        <v>#N/A</v>
      </c>
      <c r="AT345" s="52" t="e">
        <v>#N/A</v>
      </c>
      <c r="AU345" s="52" t="e">
        <v>#N/A</v>
      </c>
      <c r="AV345" s="52" t="e">
        <v>#N/A</v>
      </c>
      <c r="AX345" s="52" t="e">
        <v>#N/A</v>
      </c>
      <c r="AY345" s="52" t="e">
        <v>#N/A</v>
      </c>
      <c r="AZ345" s="52" t="s">
        <v>39</v>
      </c>
      <c r="BA345" s="52" t="e">
        <v>#N/A</v>
      </c>
      <c r="BB345" s="52" t="e">
        <v>#N/A</v>
      </c>
      <c r="BC345" s="52" t="e">
        <v>#N/A</v>
      </c>
      <c r="BD345" s="52" t="e">
        <v>#N/A</v>
      </c>
      <c r="BE345" s="52" t="e">
        <v>#N/A</v>
      </c>
      <c r="BG345" s="52" t="e">
        <v>#N/A</v>
      </c>
      <c r="BH345" s="52" t="e">
        <v>#N/A</v>
      </c>
      <c r="BI345" s="52" t="e">
        <v>#N/A</v>
      </c>
    </row>
    <row r="346">
      <c r="A346" s="52">
        <v>307.0</v>
      </c>
      <c r="D346" s="52" t="e">
        <v>#N/A</v>
      </c>
      <c r="H346" s="52" t="e">
        <v>#N/A</v>
      </c>
      <c r="I346" s="52" t="e">
        <v>#N/A</v>
      </c>
      <c r="J346" s="52" t="e">
        <v>#N/A</v>
      </c>
      <c r="K346" s="52" t="e">
        <v>#N/A</v>
      </c>
      <c r="L346" s="52" t="e">
        <v>#N/A</v>
      </c>
      <c r="N346" s="52" t="e">
        <v>#N/A</v>
      </c>
      <c r="O346" s="52" t="e">
        <v>#N/A</v>
      </c>
      <c r="P346" s="52" t="e">
        <v>#N/A</v>
      </c>
      <c r="Q346" s="52" t="e">
        <v>#N/A</v>
      </c>
      <c r="R346" s="52" t="e">
        <v>#N/A</v>
      </c>
      <c r="S346" s="52" t="e">
        <v>#N/A</v>
      </c>
      <c r="T346" s="52" t="e">
        <v>#N/A</v>
      </c>
      <c r="U346" s="52" t="e">
        <v>#N/A</v>
      </c>
      <c r="V346" s="52" t="e">
        <v>#N/A</v>
      </c>
      <c r="W346" s="52" t="e">
        <v>#N/A</v>
      </c>
      <c r="X346" s="52" t="e">
        <v>#N/A</v>
      </c>
      <c r="Y346" s="52" t="e">
        <v>#N/A</v>
      </c>
      <c r="Z346" s="52" t="e">
        <v>#N/A</v>
      </c>
      <c r="AA346" s="52" t="e">
        <v>#N/A</v>
      </c>
      <c r="AB346" s="52" t="e">
        <v>#N/A</v>
      </c>
      <c r="AC346" s="52" t="e">
        <v>#N/A</v>
      </c>
      <c r="AG346" s="52">
        <v>126.0</v>
      </c>
      <c r="AH346" s="52" t="e">
        <v>#N/A</v>
      </c>
      <c r="AI346" s="52" t="e">
        <v>#N/A</v>
      </c>
      <c r="AJ346" s="52" t="e">
        <v>#N/A</v>
      </c>
      <c r="AK346" s="52" t="e">
        <v>#N/A</v>
      </c>
      <c r="AL346" s="52" t="e">
        <v>#N/A</v>
      </c>
      <c r="AP346" s="52" t="e">
        <v>#N/A</v>
      </c>
      <c r="AQ346" s="52" t="e">
        <v>#N/A</v>
      </c>
      <c r="AR346" s="52" t="e">
        <v>#N/A</v>
      </c>
      <c r="AS346" s="52" t="e">
        <v>#N/A</v>
      </c>
      <c r="AT346" s="52" t="e">
        <v>#N/A</v>
      </c>
      <c r="AU346" s="52" t="e">
        <v>#N/A</v>
      </c>
      <c r="AV346" s="52" t="e">
        <v>#N/A</v>
      </c>
      <c r="AX346" s="52" t="e">
        <v>#N/A</v>
      </c>
      <c r="AY346" s="52" t="e">
        <v>#N/A</v>
      </c>
      <c r="AZ346" s="52" t="s">
        <v>39</v>
      </c>
      <c r="BA346" s="52" t="e">
        <v>#N/A</v>
      </c>
      <c r="BB346" s="52" t="e">
        <v>#N/A</v>
      </c>
      <c r="BC346" s="52" t="e">
        <v>#N/A</v>
      </c>
      <c r="BD346" s="52" t="e">
        <v>#N/A</v>
      </c>
      <c r="BE346" s="52" t="e">
        <v>#N/A</v>
      </c>
      <c r="BG346" s="52" t="e">
        <v>#N/A</v>
      </c>
      <c r="BH346" s="52" t="e">
        <v>#N/A</v>
      </c>
      <c r="BI346" s="52" t="e">
        <v>#N/A</v>
      </c>
    </row>
    <row r="347">
      <c r="H347" s="52" t="e">
        <v>#N/A</v>
      </c>
      <c r="I347" s="52" t="e">
        <v>#N/A</v>
      </c>
      <c r="J347" s="52" t="e">
        <v>#N/A</v>
      </c>
      <c r="K347" s="52" t="e">
        <v>#N/A</v>
      </c>
      <c r="L347" s="52" t="e">
        <v>#N/A</v>
      </c>
      <c r="N347" s="52" t="e">
        <v>#N/A</v>
      </c>
      <c r="O347" s="52" t="e">
        <v>#N/A</v>
      </c>
      <c r="P347" s="52" t="e">
        <v>#N/A</v>
      </c>
      <c r="Q347" s="52" t="e">
        <v>#N/A</v>
      </c>
      <c r="R347" s="52" t="e">
        <v>#N/A</v>
      </c>
      <c r="S347" s="52" t="e">
        <v>#N/A</v>
      </c>
      <c r="T347" s="52" t="e">
        <v>#N/A</v>
      </c>
      <c r="U347" s="52" t="e">
        <v>#N/A</v>
      </c>
      <c r="V347" s="52" t="e">
        <v>#N/A</v>
      </c>
      <c r="W347" s="52" t="e">
        <v>#N/A</v>
      </c>
      <c r="X347" s="52" t="e">
        <v>#N/A</v>
      </c>
      <c r="Y347" s="52" t="e">
        <v>#N/A</v>
      </c>
      <c r="Z347" s="52" t="e">
        <v>#N/A</v>
      </c>
      <c r="AA347" s="52" t="e">
        <v>#N/A</v>
      </c>
      <c r="AB347" s="52" t="e">
        <v>#N/A</v>
      </c>
      <c r="AC347" s="52" t="e">
        <v>#N/A</v>
      </c>
      <c r="AG347" s="52">
        <v>126.0</v>
      </c>
      <c r="AH347" s="52" t="e">
        <v>#N/A</v>
      </c>
      <c r="AI347" s="52" t="e">
        <v>#N/A</v>
      </c>
      <c r="AJ347" s="52" t="e">
        <v>#N/A</v>
      </c>
      <c r="AK347" s="52" t="e">
        <v>#N/A</v>
      </c>
      <c r="AL347" s="52" t="e">
        <v>#N/A</v>
      </c>
      <c r="AP347" s="52" t="e">
        <v>#N/A</v>
      </c>
      <c r="AQ347" s="52" t="e">
        <v>#N/A</v>
      </c>
      <c r="AR347" s="52" t="e">
        <v>#N/A</v>
      </c>
      <c r="AS347" s="52" t="e">
        <v>#N/A</v>
      </c>
      <c r="AT347" s="52" t="e">
        <v>#N/A</v>
      </c>
      <c r="AU347" s="52" t="e">
        <v>#N/A</v>
      </c>
      <c r="AV347" s="52" t="e">
        <v>#N/A</v>
      </c>
      <c r="AX347" s="52" t="e">
        <v>#N/A</v>
      </c>
      <c r="AY347" s="52" t="e">
        <v>#N/A</v>
      </c>
      <c r="AZ347" s="52" t="s">
        <v>39</v>
      </c>
      <c r="BA347" s="52" t="e">
        <v>#N/A</v>
      </c>
      <c r="BB347" s="52" t="e">
        <v>#N/A</v>
      </c>
      <c r="BC347" s="52" t="e">
        <v>#N/A</v>
      </c>
      <c r="BD347" s="52" t="e">
        <v>#N/A</v>
      </c>
      <c r="BE347" s="52" t="e">
        <v>#N/A</v>
      </c>
      <c r="BG347" s="52" t="e">
        <v>#N/A</v>
      </c>
      <c r="BH347" s="52" t="e">
        <v>#N/A</v>
      </c>
      <c r="BI347" s="52" t="e">
        <v>#N/A</v>
      </c>
    </row>
    <row r="348">
      <c r="H348" s="52" t="e">
        <v>#N/A</v>
      </c>
      <c r="I348" s="52" t="e">
        <v>#N/A</v>
      </c>
      <c r="J348" s="52" t="e">
        <v>#N/A</v>
      </c>
      <c r="K348" s="52" t="e">
        <v>#N/A</v>
      </c>
      <c r="L348" s="52" t="e">
        <v>#N/A</v>
      </c>
      <c r="N348" s="52" t="e">
        <v>#N/A</v>
      </c>
      <c r="O348" s="52" t="e">
        <v>#N/A</v>
      </c>
      <c r="P348" s="52" t="e">
        <v>#N/A</v>
      </c>
      <c r="Q348" s="52" t="e">
        <v>#N/A</v>
      </c>
      <c r="R348" s="52" t="e">
        <v>#N/A</v>
      </c>
      <c r="S348" s="52" t="e">
        <v>#N/A</v>
      </c>
      <c r="T348" s="52" t="e">
        <v>#N/A</v>
      </c>
      <c r="U348" s="52" t="e">
        <v>#N/A</v>
      </c>
      <c r="V348" s="52" t="e">
        <v>#N/A</v>
      </c>
      <c r="W348" s="52" t="e">
        <v>#N/A</v>
      </c>
      <c r="X348" s="52" t="e">
        <v>#N/A</v>
      </c>
      <c r="Y348" s="52" t="e">
        <v>#N/A</v>
      </c>
      <c r="Z348" s="52" t="e">
        <v>#N/A</v>
      </c>
      <c r="AA348" s="52" t="e">
        <v>#N/A</v>
      </c>
      <c r="AB348" s="52" t="e">
        <v>#N/A</v>
      </c>
      <c r="AC348" s="52" t="e">
        <v>#N/A</v>
      </c>
      <c r="AG348" s="52">
        <v>126.0</v>
      </c>
      <c r="AH348" s="52" t="e">
        <v>#N/A</v>
      </c>
      <c r="AI348" s="52" t="e">
        <v>#N/A</v>
      </c>
      <c r="AJ348" s="52" t="e">
        <v>#N/A</v>
      </c>
      <c r="AK348" s="52" t="e">
        <v>#N/A</v>
      </c>
      <c r="AL348" s="52" t="e">
        <v>#N/A</v>
      </c>
      <c r="AP348" s="52" t="e">
        <v>#N/A</v>
      </c>
      <c r="AQ348" s="52" t="e">
        <v>#N/A</v>
      </c>
      <c r="AR348" s="52" t="e">
        <v>#N/A</v>
      </c>
      <c r="AS348" s="52" t="e">
        <v>#N/A</v>
      </c>
      <c r="AT348" s="52" t="e">
        <v>#N/A</v>
      </c>
      <c r="AU348" s="52" t="e">
        <v>#N/A</v>
      </c>
      <c r="AV348" s="52" t="e">
        <v>#N/A</v>
      </c>
      <c r="AX348" s="52" t="e">
        <v>#N/A</v>
      </c>
      <c r="AY348" s="52" t="e">
        <v>#N/A</v>
      </c>
      <c r="AZ348" s="52" t="s">
        <v>39</v>
      </c>
      <c r="BA348" s="52" t="e">
        <v>#N/A</v>
      </c>
      <c r="BB348" s="52" t="e">
        <v>#N/A</v>
      </c>
      <c r="BC348" s="52" t="e">
        <v>#N/A</v>
      </c>
      <c r="BD348" s="52" t="e">
        <v>#N/A</v>
      </c>
      <c r="BE348" s="52" t="e">
        <v>#N/A</v>
      </c>
      <c r="BG348" s="52" t="e">
        <v>#N/A</v>
      </c>
      <c r="BH348" s="52" t="e">
        <v>#N/A</v>
      </c>
      <c r="BI348" s="52" t="e">
        <v>#N/A</v>
      </c>
    </row>
    <row r="349">
      <c r="H349" s="52" t="e">
        <v>#N/A</v>
      </c>
      <c r="I349" s="52" t="e">
        <v>#N/A</v>
      </c>
      <c r="J349" s="52" t="e">
        <v>#N/A</v>
      </c>
      <c r="K349" s="52" t="e">
        <v>#N/A</v>
      </c>
      <c r="L349" s="52" t="e">
        <v>#N/A</v>
      </c>
      <c r="N349" s="52" t="e">
        <v>#N/A</v>
      </c>
      <c r="O349" s="52" t="e">
        <v>#N/A</v>
      </c>
      <c r="P349" s="52" t="e">
        <v>#N/A</v>
      </c>
      <c r="Q349" s="52" t="e">
        <v>#N/A</v>
      </c>
      <c r="R349" s="52" t="e">
        <v>#N/A</v>
      </c>
      <c r="S349" s="52" t="e">
        <v>#N/A</v>
      </c>
      <c r="T349" s="52" t="e">
        <v>#N/A</v>
      </c>
      <c r="U349" s="52" t="e">
        <v>#N/A</v>
      </c>
      <c r="V349" s="52" t="e">
        <v>#N/A</v>
      </c>
      <c r="W349" s="52" t="e">
        <v>#N/A</v>
      </c>
      <c r="X349" s="52" t="e">
        <v>#N/A</v>
      </c>
      <c r="Y349" s="52" t="e">
        <v>#N/A</v>
      </c>
      <c r="Z349" s="52" t="e">
        <v>#N/A</v>
      </c>
      <c r="AA349" s="52" t="e">
        <v>#N/A</v>
      </c>
      <c r="AB349" s="52" t="e">
        <v>#N/A</v>
      </c>
      <c r="AC349" s="52" t="e">
        <v>#N/A</v>
      </c>
      <c r="AG349" s="52">
        <v>126.0</v>
      </c>
      <c r="AH349" s="52" t="e">
        <v>#N/A</v>
      </c>
      <c r="AI349" s="52" t="e">
        <v>#N/A</v>
      </c>
      <c r="AJ349" s="52" t="e">
        <v>#N/A</v>
      </c>
      <c r="AK349" s="52" t="e">
        <v>#N/A</v>
      </c>
      <c r="AL349" s="52" t="e">
        <v>#N/A</v>
      </c>
      <c r="AP349" s="52" t="e">
        <v>#N/A</v>
      </c>
      <c r="AQ349" s="52" t="e">
        <v>#N/A</v>
      </c>
      <c r="AR349" s="52" t="e">
        <v>#N/A</v>
      </c>
      <c r="AS349" s="52" t="e">
        <v>#N/A</v>
      </c>
      <c r="AT349" s="52" t="e">
        <v>#N/A</v>
      </c>
      <c r="AU349" s="52" t="e">
        <v>#N/A</v>
      </c>
      <c r="AV349" s="52" t="e">
        <v>#N/A</v>
      </c>
      <c r="AX349" s="52" t="e">
        <v>#N/A</v>
      </c>
      <c r="AY349" s="52" t="e">
        <v>#N/A</v>
      </c>
      <c r="AZ349" s="52" t="s">
        <v>39</v>
      </c>
      <c r="BA349" s="52" t="e">
        <v>#N/A</v>
      </c>
      <c r="BB349" s="52" t="e">
        <v>#N/A</v>
      </c>
      <c r="BC349" s="52" t="e">
        <v>#N/A</v>
      </c>
      <c r="BD349" s="52" t="e">
        <v>#N/A</v>
      </c>
      <c r="BE349" s="52" t="e">
        <v>#N/A</v>
      </c>
      <c r="BG349" s="52" t="e">
        <v>#N/A</v>
      </c>
      <c r="BH349" s="52" t="e">
        <v>#N/A</v>
      </c>
      <c r="BI349" s="52" t="e">
        <v>#N/A</v>
      </c>
    </row>
    <row r="350">
      <c r="H350" s="52" t="e">
        <v>#N/A</v>
      </c>
      <c r="I350" s="52" t="e">
        <v>#N/A</v>
      </c>
      <c r="J350" s="52" t="e">
        <v>#N/A</v>
      </c>
      <c r="K350" s="52" t="e">
        <v>#N/A</v>
      </c>
      <c r="L350" s="52" t="e">
        <v>#N/A</v>
      </c>
      <c r="N350" s="52" t="e">
        <v>#N/A</v>
      </c>
      <c r="O350" s="52" t="e">
        <v>#N/A</v>
      </c>
      <c r="P350" s="52" t="e">
        <v>#N/A</v>
      </c>
      <c r="Q350" s="52" t="e">
        <v>#N/A</v>
      </c>
      <c r="R350" s="52" t="e">
        <v>#N/A</v>
      </c>
      <c r="S350" s="52" t="e">
        <v>#N/A</v>
      </c>
      <c r="T350" s="52" t="e">
        <v>#N/A</v>
      </c>
      <c r="U350" s="52" t="e">
        <v>#N/A</v>
      </c>
      <c r="V350" s="52" t="e">
        <v>#N/A</v>
      </c>
      <c r="W350" s="52" t="e">
        <v>#N/A</v>
      </c>
      <c r="X350" s="52" t="e">
        <v>#N/A</v>
      </c>
      <c r="Y350" s="52" t="e">
        <v>#N/A</v>
      </c>
      <c r="Z350" s="52" t="e">
        <v>#N/A</v>
      </c>
      <c r="AA350" s="52" t="e">
        <v>#N/A</v>
      </c>
      <c r="AB350" s="52" t="e">
        <v>#N/A</v>
      </c>
      <c r="AC350" s="52" t="e">
        <v>#N/A</v>
      </c>
      <c r="AG350" s="52">
        <v>126.0</v>
      </c>
      <c r="AH350" s="52" t="e">
        <v>#N/A</v>
      </c>
      <c r="AI350" s="52" t="e">
        <v>#N/A</v>
      </c>
      <c r="AJ350" s="52" t="e">
        <v>#N/A</v>
      </c>
      <c r="AK350" s="52" t="e">
        <v>#N/A</v>
      </c>
      <c r="AL350" s="52" t="e">
        <v>#N/A</v>
      </c>
      <c r="AP350" s="52" t="e">
        <v>#N/A</v>
      </c>
      <c r="AQ350" s="52" t="e">
        <v>#N/A</v>
      </c>
      <c r="AR350" s="52" t="e">
        <v>#N/A</v>
      </c>
      <c r="AS350" s="52" t="e">
        <v>#N/A</v>
      </c>
      <c r="AT350" s="52" t="e">
        <v>#N/A</v>
      </c>
      <c r="AU350" s="52" t="e">
        <v>#N/A</v>
      </c>
      <c r="AV350" s="52" t="e">
        <v>#N/A</v>
      </c>
      <c r="AX350" s="52" t="e">
        <v>#N/A</v>
      </c>
      <c r="AY350" s="52" t="e">
        <v>#N/A</v>
      </c>
      <c r="AZ350" s="52" t="s">
        <v>39</v>
      </c>
      <c r="BA350" s="52" t="e">
        <v>#N/A</v>
      </c>
      <c r="BB350" s="52" t="e">
        <v>#N/A</v>
      </c>
      <c r="BC350" s="52" t="e">
        <v>#N/A</v>
      </c>
      <c r="BD350" s="52" t="e">
        <v>#N/A</v>
      </c>
      <c r="BE350" s="52" t="e">
        <v>#N/A</v>
      </c>
      <c r="BG350" s="52" t="e">
        <v>#N/A</v>
      </c>
      <c r="BH350" s="52" t="e">
        <v>#N/A</v>
      </c>
      <c r="BI350" s="52" t="e">
        <v>#N/A</v>
      </c>
    </row>
    <row r="351">
      <c r="H351" s="52" t="e">
        <v>#N/A</v>
      </c>
      <c r="I351" s="52" t="e">
        <v>#N/A</v>
      </c>
      <c r="J351" s="52" t="e">
        <v>#N/A</v>
      </c>
      <c r="K351" s="52" t="e">
        <v>#N/A</v>
      </c>
      <c r="L351" s="52" t="e">
        <v>#N/A</v>
      </c>
      <c r="N351" s="52" t="e">
        <v>#N/A</v>
      </c>
      <c r="O351" s="52" t="e">
        <v>#N/A</v>
      </c>
      <c r="P351" s="52" t="e">
        <v>#N/A</v>
      </c>
      <c r="Q351" s="52" t="e">
        <v>#N/A</v>
      </c>
      <c r="R351" s="52" t="e">
        <v>#N/A</v>
      </c>
      <c r="S351" s="52" t="e">
        <v>#N/A</v>
      </c>
      <c r="T351" s="52" t="e">
        <v>#N/A</v>
      </c>
      <c r="U351" s="52" t="e">
        <v>#N/A</v>
      </c>
      <c r="V351" s="52" t="e">
        <v>#N/A</v>
      </c>
      <c r="W351" s="52" t="e">
        <v>#N/A</v>
      </c>
      <c r="X351" s="52" t="e">
        <v>#N/A</v>
      </c>
      <c r="Y351" s="52" t="e">
        <v>#N/A</v>
      </c>
      <c r="Z351" s="52" t="e">
        <v>#N/A</v>
      </c>
      <c r="AA351" s="52" t="e">
        <v>#N/A</v>
      </c>
      <c r="AB351" s="52" t="e">
        <v>#N/A</v>
      </c>
      <c r="AC351" s="52" t="e">
        <v>#N/A</v>
      </c>
      <c r="AG351" s="52">
        <v>126.0</v>
      </c>
      <c r="AH351" s="52" t="e">
        <v>#N/A</v>
      </c>
      <c r="AI351" s="52" t="e">
        <v>#N/A</v>
      </c>
      <c r="AJ351" s="52" t="e">
        <v>#N/A</v>
      </c>
      <c r="AK351" s="52" t="e">
        <v>#N/A</v>
      </c>
      <c r="AL351" s="52" t="e">
        <v>#N/A</v>
      </c>
      <c r="AP351" s="52" t="e">
        <v>#N/A</v>
      </c>
      <c r="AQ351" s="52" t="e">
        <v>#N/A</v>
      </c>
      <c r="AR351" s="52" t="e">
        <v>#N/A</v>
      </c>
      <c r="AS351" s="52" t="e">
        <v>#N/A</v>
      </c>
      <c r="AT351" s="52" t="e">
        <v>#N/A</v>
      </c>
      <c r="AU351" s="52" t="e">
        <v>#N/A</v>
      </c>
      <c r="AV351" s="52" t="e">
        <v>#N/A</v>
      </c>
      <c r="AX351" s="52" t="e">
        <v>#N/A</v>
      </c>
      <c r="AY351" s="52" t="e">
        <v>#N/A</v>
      </c>
      <c r="AZ351" s="52" t="s">
        <v>39</v>
      </c>
      <c r="BA351" s="52" t="e">
        <v>#N/A</v>
      </c>
      <c r="BB351" s="52" t="e">
        <v>#N/A</v>
      </c>
      <c r="BC351" s="52" t="e">
        <v>#N/A</v>
      </c>
      <c r="BD351" s="52" t="e">
        <v>#N/A</v>
      </c>
      <c r="BE351" s="52" t="e">
        <v>#N/A</v>
      </c>
      <c r="BG351" s="52" t="e">
        <v>#N/A</v>
      </c>
      <c r="BH351" s="52" t="e">
        <v>#N/A</v>
      </c>
      <c r="BI351" s="52" t="e">
        <v>#N/A</v>
      </c>
    </row>
    <row r="352">
      <c r="H352" s="52" t="e">
        <v>#N/A</v>
      </c>
      <c r="I352" s="52" t="e">
        <v>#N/A</v>
      </c>
      <c r="J352" s="52" t="e">
        <v>#N/A</v>
      </c>
      <c r="K352" s="52" t="e">
        <v>#N/A</v>
      </c>
      <c r="L352" s="52" t="e">
        <v>#N/A</v>
      </c>
      <c r="N352" s="52" t="e">
        <v>#N/A</v>
      </c>
      <c r="O352" s="52" t="e">
        <v>#N/A</v>
      </c>
      <c r="P352" s="52" t="e">
        <v>#N/A</v>
      </c>
      <c r="Q352" s="52" t="e">
        <v>#N/A</v>
      </c>
      <c r="R352" s="52" t="e">
        <v>#N/A</v>
      </c>
      <c r="S352" s="52" t="e">
        <v>#N/A</v>
      </c>
      <c r="T352" s="52" t="e">
        <v>#N/A</v>
      </c>
      <c r="U352" s="52" t="e">
        <v>#N/A</v>
      </c>
      <c r="V352" s="52" t="e">
        <v>#N/A</v>
      </c>
      <c r="W352" s="52" t="e">
        <v>#N/A</v>
      </c>
      <c r="X352" s="52" t="e">
        <v>#N/A</v>
      </c>
      <c r="Y352" s="52" t="e">
        <v>#N/A</v>
      </c>
      <c r="Z352" s="52" t="e">
        <v>#N/A</v>
      </c>
      <c r="AA352" s="52" t="e">
        <v>#N/A</v>
      </c>
      <c r="AB352" s="52" t="e">
        <v>#N/A</v>
      </c>
      <c r="AC352" s="52" t="e">
        <v>#N/A</v>
      </c>
      <c r="AG352" s="52">
        <v>126.0</v>
      </c>
      <c r="AH352" s="52" t="e">
        <v>#N/A</v>
      </c>
      <c r="AI352" s="52" t="e">
        <v>#N/A</v>
      </c>
      <c r="AJ352" s="52" t="e">
        <v>#N/A</v>
      </c>
      <c r="AK352" s="52" t="e">
        <v>#N/A</v>
      </c>
      <c r="AL352" s="52" t="e">
        <v>#N/A</v>
      </c>
      <c r="AP352" s="52" t="e">
        <v>#N/A</v>
      </c>
      <c r="AQ352" s="52" t="e">
        <v>#N/A</v>
      </c>
      <c r="AR352" s="52" t="e">
        <v>#N/A</v>
      </c>
      <c r="AS352" s="52" t="e">
        <v>#N/A</v>
      </c>
      <c r="AT352" s="52" t="e">
        <v>#N/A</v>
      </c>
      <c r="AU352" s="52" t="e">
        <v>#N/A</v>
      </c>
      <c r="AV352" s="52" t="e">
        <v>#N/A</v>
      </c>
      <c r="AX352" s="52" t="e">
        <v>#N/A</v>
      </c>
      <c r="AY352" s="52" t="e">
        <v>#N/A</v>
      </c>
      <c r="AZ352" s="52" t="s">
        <v>39</v>
      </c>
      <c r="BA352" s="52" t="e">
        <v>#N/A</v>
      </c>
      <c r="BB352" s="52" t="e">
        <v>#N/A</v>
      </c>
      <c r="BC352" s="52" t="e">
        <v>#N/A</v>
      </c>
      <c r="BD352" s="52" t="e">
        <v>#N/A</v>
      </c>
      <c r="BE352" s="52" t="e">
        <v>#N/A</v>
      </c>
      <c r="BG352" s="52" t="e">
        <v>#N/A</v>
      </c>
      <c r="BH352" s="52" t="e">
        <v>#N/A</v>
      </c>
      <c r="BI352" s="52" t="e">
        <v>#N/A</v>
      </c>
    </row>
    <row r="353">
      <c r="H353" s="52" t="e">
        <v>#N/A</v>
      </c>
      <c r="I353" s="52" t="e">
        <v>#N/A</v>
      </c>
      <c r="J353" s="52" t="e">
        <v>#N/A</v>
      </c>
      <c r="K353" s="52" t="e">
        <v>#N/A</v>
      </c>
      <c r="L353" s="52" t="e">
        <v>#N/A</v>
      </c>
      <c r="N353" s="52" t="e">
        <v>#N/A</v>
      </c>
      <c r="O353" s="52" t="e">
        <v>#N/A</v>
      </c>
      <c r="P353" s="52" t="e">
        <v>#N/A</v>
      </c>
      <c r="Q353" s="52" t="e">
        <v>#N/A</v>
      </c>
      <c r="R353" s="52" t="e">
        <v>#N/A</v>
      </c>
      <c r="S353" s="52" t="e">
        <v>#N/A</v>
      </c>
      <c r="T353" s="52" t="e">
        <v>#N/A</v>
      </c>
      <c r="U353" s="52" t="e">
        <v>#N/A</v>
      </c>
      <c r="V353" s="52" t="e">
        <v>#N/A</v>
      </c>
      <c r="W353" s="52" t="e">
        <v>#N/A</v>
      </c>
      <c r="X353" s="52" t="e">
        <v>#N/A</v>
      </c>
      <c r="Y353" s="52" t="e">
        <v>#N/A</v>
      </c>
      <c r="Z353" s="52" t="e">
        <v>#N/A</v>
      </c>
      <c r="AA353" s="52" t="e">
        <v>#N/A</v>
      </c>
      <c r="AB353" s="52" t="e">
        <v>#N/A</v>
      </c>
      <c r="AC353" s="52" t="e">
        <v>#N/A</v>
      </c>
      <c r="AG353" s="52">
        <v>126.0</v>
      </c>
      <c r="AH353" s="52" t="e">
        <v>#N/A</v>
      </c>
      <c r="AI353" s="52" t="e">
        <v>#N/A</v>
      </c>
      <c r="AJ353" s="52" t="e">
        <v>#N/A</v>
      </c>
      <c r="AK353" s="52" t="e">
        <v>#N/A</v>
      </c>
      <c r="AL353" s="52" t="e">
        <v>#N/A</v>
      </c>
      <c r="AP353" s="52" t="e">
        <v>#N/A</v>
      </c>
      <c r="AQ353" s="52" t="e">
        <v>#N/A</v>
      </c>
      <c r="AR353" s="52" t="e">
        <v>#N/A</v>
      </c>
      <c r="AS353" s="52" t="e">
        <v>#N/A</v>
      </c>
      <c r="AT353" s="52" t="e">
        <v>#N/A</v>
      </c>
      <c r="AU353" s="52" t="e">
        <v>#N/A</v>
      </c>
      <c r="AV353" s="52" t="e">
        <v>#N/A</v>
      </c>
      <c r="AX353" s="52" t="e">
        <v>#N/A</v>
      </c>
      <c r="AY353" s="52" t="e">
        <v>#N/A</v>
      </c>
      <c r="AZ353" s="52" t="s">
        <v>39</v>
      </c>
      <c r="BA353" s="52" t="e">
        <v>#N/A</v>
      </c>
      <c r="BB353" s="52" t="e">
        <v>#N/A</v>
      </c>
      <c r="BC353" s="52" t="e">
        <v>#N/A</v>
      </c>
      <c r="BD353" s="52" t="e">
        <v>#N/A</v>
      </c>
      <c r="BE353" s="52" t="e">
        <v>#N/A</v>
      </c>
      <c r="BG353" s="52" t="e">
        <v>#N/A</v>
      </c>
      <c r="BH353" s="52" t="e">
        <v>#N/A</v>
      </c>
      <c r="BI353" s="52" t="e">
        <v>#N/A</v>
      </c>
    </row>
    <row r="354">
      <c r="H354" s="52" t="e">
        <v>#N/A</v>
      </c>
      <c r="I354" s="52" t="e">
        <v>#N/A</v>
      </c>
      <c r="J354" s="52" t="e">
        <v>#N/A</v>
      </c>
      <c r="K354" s="52" t="e">
        <v>#N/A</v>
      </c>
      <c r="L354" s="52" t="e">
        <v>#N/A</v>
      </c>
      <c r="N354" s="52" t="e">
        <v>#N/A</v>
      </c>
      <c r="O354" s="52" t="e">
        <v>#N/A</v>
      </c>
      <c r="P354" s="52" t="e">
        <v>#N/A</v>
      </c>
      <c r="Q354" s="52" t="e">
        <v>#N/A</v>
      </c>
      <c r="R354" s="52" t="e">
        <v>#N/A</v>
      </c>
      <c r="S354" s="52" t="e">
        <v>#N/A</v>
      </c>
      <c r="T354" s="52" t="e">
        <v>#N/A</v>
      </c>
      <c r="U354" s="52" t="e">
        <v>#N/A</v>
      </c>
      <c r="V354" s="52" t="e">
        <v>#N/A</v>
      </c>
      <c r="W354" s="52" t="e">
        <v>#N/A</v>
      </c>
      <c r="X354" s="52" t="e">
        <v>#N/A</v>
      </c>
      <c r="Y354" s="52" t="e">
        <v>#N/A</v>
      </c>
      <c r="Z354" s="52" t="e">
        <v>#N/A</v>
      </c>
      <c r="AA354" s="52" t="e">
        <v>#N/A</v>
      </c>
      <c r="AB354" s="52" t="e">
        <v>#N/A</v>
      </c>
      <c r="AC354" s="52" t="e">
        <v>#N/A</v>
      </c>
      <c r="AG354" s="52">
        <v>126.0</v>
      </c>
      <c r="AH354" s="52" t="e">
        <v>#N/A</v>
      </c>
      <c r="AI354" s="52" t="e">
        <v>#N/A</v>
      </c>
      <c r="AJ354" s="52" t="e">
        <v>#N/A</v>
      </c>
      <c r="AK354" s="52" t="e">
        <v>#N/A</v>
      </c>
      <c r="AL354" s="52" t="e">
        <v>#N/A</v>
      </c>
      <c r="AP354" s="52" t="e">
        <v>#N/A</v>
      </c>
      <c r="AQ354" s="52" t="e">
        <v>#N/A</v>
      </c>
      <c r="AR354" s="52" t="e">
        <v>#N/A</v>
      </c>
      <c r="AS354" s="52" t="e">
        <v>#N/A</v>
      </c>
      <c r="AT354" s="52" t="e">
        <v>#N/A</v>
      </c>
      <c r="AU354" s="52" t="e">
        <v>#N/A</v>
      </c>
      <c r="AV354" s="52" t="e">
        <v>#N/A</v>
      </c>
      <c r="AX354" s="52" t="e">
        <v>#N/A</v>
      </c>
      <c r="AY354" s="52" t="e">
        <v>#N/A</v>
      </c>
      <c r="AZ354" s="52" t="s">
        <v>39</v>
      </c>
      <c r="BA354" s="52" t="e">
        <v>#N/A</v>
      </c>
      <c r="BB354" s="52" t="e">
        <v>#N/A</v>
      </c>
      <c r="BC354" s="52" t="e">
        <v>#N/A</v>
      </c>
      <c r="BD354" s="52" t="e">
        <v>#N/A</v>
      </c>
      <c r="BE354" s="52" t="e">
        <v>#N/A</v>
      </c>
      <c r="BG354" s="52" t="e">
        <v>#N/A</v>
      </c>
      <c r="BH354" s="52" t="e">
        <v>#N/A</v>
      </c>
      <c r="BI354" s="52" t="e">
        <v>#N/A</v>
      </c>
    </row>
    <row r="355">
      <c r="H355" s="52" t="e">
        <v>#N/A</v>
      </c>
      <c r="I355" s="52" t="e">
        <v>#N/A</v>
      </c>
      <c r="J355" s="52" t="e">
        <v>#N/A</v>
      </c>
      <c r="K355" s="52" t="e">
        <v>#N/A</v>
      </c>
      <c r="L355" s="52" t="e">
        <v>#N/A</v>
      </c>
      <c r="N355" s="52" t="e">
        <v>#N/A</v>
      </c>
      <c r="O355" s="52" t="e">
        <v>#N/A</v>
      </c>
      <c r="P355" s="52" t="e">
        <v>#N/A</v>
      </c>
      <c r="Q355" s="52" t="e">
        <v>#N/A</v>
      </c>
      <c r="R355" s="52" t="e">
        <v>#N/A</v>
      </c>
      <c r="S355" s="52" t="e">
        <v>#N/A</v>
      </c>
      <c r="T355" s="52" t="e">
        <v>#N/A</v>
      </c>
      <c r="U355" s="52" t="e">
        <v>#N/A</v>
      </c>
      <c r="V355" s="52" t="e">
        <v>#N/A</v>
      </c>
      <c r="W355" s="52" t="e">
        <v>#N/A</v>
      </c>
      <c r="X355" s="52" t="e">
        <v>#N/A</v>
      </c>
      <c r="Y355" s="52" t="e">
        <v>#N/A</v>
      </c>
      <c r="Z355" s="52" t="e">
        <v>#N/A</v>
      </c>
      <c r="AA355" s="52" t="e">
        <v>#N/A</v>
      </c>
      <c r="AB355" s="52" t="e">
        <v>#N/A</v>
      </c>
      <c r="AC355" s="52" t="e">
        <v>#N/A</v>
      </c>
      <c r="AG355" s="52">
        <v>126.0</v>
      </c>
      <c r="AH355" s="52" t="e">
        <v>#N/A</v>
      </c>
      <c r="AI355" s="52" t="e">
        <v>#N/A</v>
      </c>
      <c r="AJ355" s="52" t="e">
        <v>#N/A</v>
      </c>
      <c r="AK355" s="52" t="e">
        <v>#N/A</v>
      </c>
      <c r="AL355" s="52" t="e">
        <v>#N/A</v>
      </c>
      <c r="AP355" s="52" t="e">
        <v>#N/A</v>
      </c>
      <c r="AQ355" s="52" t="e">
        <v>#N/A</v>
      </c>
      <c r="AR355" s="52" t="e">
        <v>#N/A</v>
      </c>
      <c r="AS355" s="52" t="e">
        <v>#N/A</v>
      </c>
      <c r="AT355" s="52" t="e">
        <v>#N/A</v>
      </c>
      <c r="AU355" s="52" t="e">
        <v>#N/A</v>
      </c>
      <c r="AV355" s="52" t="e">
        <v>#N/A</v>
      </c>
      <c r="AX355" s="52" t="e">
        <v>#N/A</v>
      </c>
      <c r="AY355" s="52" t="e">
        <v>#N/A</v>
      </c>
      <c r="AZ355" s="52" t="s">
        <v>39</v>
      </c>
      <c r="BA355" s="52" t="e">
        <v>#N/A</v>
      </c>
      <c r="BB355" s="52" t="e">
        <v>#N/A</v>
      </c>
      <c r="BC355" s="52" t="e">
        <v>#N/A</v>
      </c>
      <c r="BD355" s="52" t="e">
        <v>#N/A</v>
      </c>
      <c r="BE355" s="52" t="e">
        <v>#N/A</v>
      </c>
      <c r="BG355" s="52" t="e">
        <v>#N/A</v>
      </c>
      <c r="BH355" s="52" t="e">
        <v>#N/A</v>
      </c>
      <c r="BI355" s="52" t="e">
        <v>#N/A</v>
      </c>
    </row>
    <row r="356">
      <c r="H356" s="52" t="e">
        <v>#N/A</v>
      </c>
      <c r="I356" s="52" t="e">
        <v>#N/A</v>
      </c>
      <c r="J356" s="52" t="e">
        <v>#N/A</v>
      </c>
      <c r="K356" s="52" t="e">
        <v>#N/A</v>
      </c>
      <c r="L356" s="52" t="e">
        <v>#N/A</v>
      </c>
      <c r="N356" s="52" t="e">
        <v>#N/A</v>
      </c>
      <c r="O356" s="52" t="e">
        <v>#N/A</v>
      </c>
      <c r="P356" s="52" t="e">
        <v>#N/A</v>
      </c>
      <c r="Q356" s="52" t="e">
        <v>#N/A</v>
      </c>
      <c r="R356" s="52" t="e">
        <v>#N/A</v>
      </c>
      <c r="S356" s="52" t="e">
        <v>#N/A</v>
      </c>
      <c r="T356" s="52" t="e">
        <v>#N/A</v>
      </c>
      <c r="U356" s="52" t="e">
        <v>#N/A</v>
      </c>
      <c r="V356" s="52" t="e">
        <v>#N/A</v>
      </c>
      <c r="W356" s="52" t="e">
        <v>#N/A</v>
      </c>
      <c r="X356" s="52" t="e">
        <v>#N/A</v>
      </c>
      <c r="Y356" s="52" t="e">
        <v>#N/A</v>
      </c>
      <c r="Z356" s="52" t="e">
        <v>#N/A</v>
      </c>
      <c r="AA356" s="52" t="e">
        <v>#N/A</v>
      </c>
      <c r="AB356" s="52" t="e">
        <v>#N/A</v>
      </c>
      <c r="AC356" s="52" t="e">
        <v>#N/A</v>
      </c>
      <c r="AG356" s="52">
        <v>126.0</v>
      </c>
      <c r="AH356" s="52" t="e">
        <v>#N/A</v>
      </c>
      <c r="AI356" s="52" t="e">
        <v>#N/A</v>
      </c>
      <c r="AJ356" s="52" t="e">
        <v>#N/A</v>
      </c>
      <c r="AK356" s="52" t="e">
        <v>#N/A</v>
      </c>
      <c r="AL356" s="52" t="e">
        <v>#N/A</v>
      </c>
      <c r="AP356" s="52" t="e">
        <v>#N/A</v>
      </c>
      <c r="AQ356" s="52" t="e">
        <v>#N/A</v>
      </c>
      <c r="AR356" s="52" t="e">
        <v>#N/A</v>
      </c>
      <c r="AS356" s="52" t="e">
        <v>#N/A</v>
      </c>
      <c r="AT356" s="52" t="e">
        <v>#N/A</v>
      </c>
      <c r="AU356" s="52" t="e">
        <v>#N/A</v>
      </c>
      <c r="AV356" s="52" t="e">
        <v>#N/A</v>
      </c>
      <c r="AX356" s="52" t="e">
        <v>#N/A</v>
      </c>
      <c r="AY356" s="52" t="e">
        <v>#N/A</v>
      </c>
      <c r="AZ356" s="52" t="s">
        <v>39</v>
      </c>
      <c r="BA356" s="52" t="e">
        <v>#N/A</v>
      </c>
      <c r="BB356" s="52" t="e">
        <v>#N/A</v>
      </c>
      <c r="BC356" s="52" t="e">
        <v>#N/A</v>
      </c>
      <c r="BD356" s="52" t="e">
        <v>#N/A</v>
      </c>
      <c r="BE356" s="52" t="e">
        <v>#N/A</v>
      </c>
      <c r="BG356" s="52" t="e">
        <v>#N/A</v>
      </c>
      <c r="BH356" s="52" t="e">
        <v>#N/A</v>
      </c>
      <c r="BI356" s="52" t="e">
        <v>#N/A</v>
      </c>
    </row>
    <row r="357">
      <c r="H357" s="52" t="e">
        <v>#N/A</v>
      </c>
      <c r="I357" s="52" t="e">
        <v>#N/A</v>
      </c>
      <c r="J357" s="52" t="e">
        <v>#N/A</v>
      </c>
      <c r="K357" s="52" t="e">
        <v>#N/A</v>
      </c>
      <c r="L357" s="52" t="e">
        <v>#N/A</v>
      </c>
      <c r="N357" s="52" t="e">
        <v>#N/A</v>
      </c>
      <c r="O357" s="52" t="e">
        <v>#N/A</v>
      </c>
      <c r="P357" s="52" t="e">
        <v>#N/A</v>
      </c>
      <c r="Q357" s="52" t="e">
        <v>#N/A</v>
      </c>
      <c r="R357" s="52" t="e">
        <v>#N/A</v>
      </c>
      <c r="S357" s="52" t="e">
        <v>#N/A</v>
      </c>
      <c r="T357" s="52" t="e">
        <v>#N/A</v>
      </c>
      <c r="U357" s="52" t="e">
        <v>#N/A</v>
      </c>
      <c r="V357" s="52" t="e">
        <v>#N/A</v>
      </c>
      <c r="W357" s="52" t="e">
        <v>#N/A</v>
      </c>
      <c r="X357" s="52" t="e">
        <v>#N/A</v>
      </c>
      <c r="Y357" s="52" t="e">
        <v>#N/A</v>
      </c>
      <c r="Z357" s="52" t="e">
        <v>#N/A</v>
      </c>
      <c r="AA357" s="52" t="e">
        <v>#N/A</v>
      </c>
      <c r="AB357" s="52" t="e">
        <v>#N/A</v>
      </c>
      <c r="AC357" s="52" t="e">
        <v>#N/A</v>
      </c>
      <c r="AG357" s="52">
        <v>126.0</v>
      </c>
      <c r="AH357" s="52" t="e">
        <v>#N/A</v>
      </c>
      <c r="AI357" s="52" t="e">
        <v>#N/A</v>
      </c>
      <c r="AJ357" s="52" t="e">
        <v>#N/A</v>
      </c>
      <c r="AK357" s="52" t="e">
        <v>#N/A</v>
      </c>
      <c r="AL357" s="52" t="e">
        <v>#N/A</v>
      </c>
      <c r="AP357" s="52" t="e">
        <v>#N/A</v>
      </c>
      <c r="AQ357" s="52" t="e">
        <v>#N/A</v>
      </c>
      <c r="AR357" s="52" t="e">
        <v>#N/A</v>
      </c>
      <c r="AS357" s="52" t="e">
        <v>#N/A</v>
      </c>
      <c r="AT357" s="52" t="e">
        <v>#N/A</v>
      </c>
      <c r="AU357" s="52" t="e">
        <v>#N/A</v>
      </c>
      <c r="AV357" s="52" t="e">
        <v>#N/A</v>
      </c>
      <c r="AX357" s="52" t="e">
        <v>#N/A</v>
      </c>
      <c r="AY357" s="52" t="e">
        <v>#N/A</v>
      </c>
      <c r="AZ357" s="52" t="s">
        <v>39</v>
      </c>
      <c r="BA357" s="52" t="e">
        <v>#N/A</v>
      </c>
      <c r="BB357" s="52" t="e">
        <v>#N/A</v>
      </c>
      <c r="BC357" s="52" t="e">
        <v>#N/A</v>
      </c>
      <c r="BD357" s="52" t="e">
        <v>#N/A</v>
      </c>
      <c r="BE357" s="52" t="e">
        <v>#N/A</v>
      </c>
      <c r="BG357" s="52" t="e">
        <v>#N/A</v>
      </c>
      <c r="BH357" s="52" t="e">
        <v>#N/A</v>
      </c>
      <c r="BI357" s="52" t="e">
        <v>#N/A</v>
      </c>
    </row>
    <row r="358">
      <c r="H358" s="52" t="e">
        <v>#N/A</v>
      </c>
      <c r="I358" s="52" t="e">
        <v>#N/A</v>
      </c>
      <c r="J358" s="52" t="e">
        <v>#N/A</v>
      </c>
      <c r="K358" s="52" t="e">
        <v>#N/A</v>
      </c>
      <c r="L358" s="52" t="e">
        <v>#N/A</v>
      </c>
      <c r="N358" s="52" t="e">
        <v>#N/A</v>
      </c>
      <c r="O358" s="52" t="e">
        <v>#N/A</v>
      </c>
      <c r="P358" s="52" t="e">
        <v>#N/A</v>
      </c>
      <c r="Q358" s="52" t="e">
        <v>#N/A</v>
      </c>
      <c r="R358" s="52" t="e">
        <v>#N/A</v>
      </c>
      <c r="S358" s="52" t="e">
        <v>#N/A</v>
      </c>
      <c r="T358" s="52" t="e">
        <v>#N/A</v>
      </c>
      <c r="U358" s="52" t="e">
        <v>#N/A</v>
      </c>
      <c r="V358" s="52" t="e">
        <v>#N/A</v>
      </c>
      <c r="W358" s="52" t="e">
        <v>#N/A</v>
      </c>
      <c r="X358" s="52" t="e">
        <v>#N/A</v>
      </c>
      <c r="Y358" s="52" t="e">
        <v>#N/A</v>
      </c>
      <c r="Z358" s="52" t="e">
        <v>#N/A</v>
      </c>
      <c r="AA358" s="52" t="e">
        <v>#N/A</v>
      </c>
      <c r="AB358" s="52" t="e">
        <v>#N/A</v>
      </c>
      <c r="AC358" s="52" t="e">
        <v>#N/A</v>
      </c>
      <c r="AG358" s="52">
        <v>126.0</v>
      </c>
      <c r="AH358" s="52" t="e">
        <v>#N/A</v>
      </c>
      <c r="AI358" s="52" t="e">
        <v>#N/A</v>
      </c>
      <c r="AJ358" s="52" t="e">
        <v>#N/A</v>
      </c>
      <c r="AK358" s="52" t="e">
        <v>#N/A</v>
      </c>
      <c r="AL358" s="52" t="e">
        <v>#N/A</v>
      </c>
      <c r="AP358" s="52" t="e">
        <v>#N/A</v>
      </c>
      <c r="AQ358" s="52" t="e">
        <v>#N/A</v>
      </c>
      <c r="AR358" s="52" t="e">
        <v>#N/A</v>
      </c>
      <c r="AS358" s="52" t="e">
        <v>#N/A</v>
      </c>
      <c r="AT358" s="52" t="e">
        <v>#N/A</v>
      </c>
      <c r="AU358" s="52" t="e">
        <v>#N/A</v>
      </c>
      <c r="AV358" s="52" t="e">
        <v>#N/A</v>
      </c>
      <c r="AX358" s="52" t="e">
        <v>#N/A</v>
      </c>
      <c r="AY358" s="52" t="e">
        <v>#N/A</v>
      </c>
      <c r="AZ358" s="52" t="s">
        <v>39</v>
      </c>
      <c r="BA358" s="52" t="e">
        <v>#N/A</v>
      </c>
      <c r="BC358" s="52" t="e">
        <v>#N/A</v>
      </c>
      <c r="BD358" s="52" t="e">
        <v>#N/A</v>
      </c>
      <c r="BE358" s="52" t="e">
        <v>#N/A</v>
      </c>
      <c r="BG358" s="52" t="e">
        <v>#N/A</v>
      </c>
      <c r="BH358" s="52" t="e">
        <v>#N/A</v>
      </c>
      <c r="BI358" s="52" t="e">
        <v>#N/A</v>
      </c>
    </row>
    <row r="359">
      <c r="H359" s="52" t="e">
        <v>#N/A</v>
      </c>
      <c r="I359" s="52" t="e">
        <v>#N/A</v>
      </c>
      <c r="J359" s="52" t="e">
        <v>#N/A</v>
      </c>
      <c r="K359" s="52" t="e">
        <v>#N/A</v>
      </c>
      <c r="L359" s="52" t="e">
        <v>#N/A</v>
      </c>
      <c r="N359" s="52" t="e">
        <v>#N/A</v>
      </c>
      <c r="O359" s="52" t="e">
        <v>#N/A</v>
      </c>
      <c r="P359" s="52" t="e">
        <v>#N/A</v>
      </c>
      <c r="Q359" s="52" t="e">
        <v>#N/A</v>
      </c>
      <c r="R359" s="52" t="e">
        <v>#N/A</v>
      </c>
      <c r="S359" s="52" t="e">
        <v>#N/A</v>
      </c>
      <c r="T359" s="52" t="e">
        <v>#N/A</v>
      </c>
      <c r="U359" s="52" t="e">
        <v>#N/A</v>
      </c>
      <c r="V359" s="52" t="e">
        <v>#N/A</v>
      </c>
      <c r="W359" s="52" t="e">
        <v>#N/A</v>
      </c>
      <c r="X359" s="52" t="e">
        <v>#N/A</v>
      </c>
      <c r="Y359" s="52" t="e">
        <v>#N/A</v>
      </c>
      <c r="Z359" s="52" t="e">
        <v>#N/A</v>
      </c>
      <c r="AA359" s="52" t="e">
        <v>#N/A</v>
      </c>
      <c r="AB359" s="52" t="e">
        <v>#N/A</v>
      </c>
      <c r="AC359" s="52" t="e">
        <v>#N/A</v>
      </c>
      <c r="AG359" s="52">
        <v>126.0</v>
      </c>
      <c r="AH359" s="52" t="e">
        <v>#N/A</v>
      </c>
      <c r="AI359" s="52" t="e">
        <v>#N/A</v>
      </c>
      <c r="AJ359" s="52" t="e">
        <v>#N/A</v>
      </c>
      <c r="AK359" s="52" t="e">
        <v>#N/A</v>
      </c>
      <c r="AL359" s="52" t="e">
        <v>#N/A</v>
      </c>
      <c r="AP359" s="52" t="e">
        <v>#N/A</v>
      </c>
      <c r="AQ359" s="52" t="e">
        <v>#N/A</v>
      </c>
      <c r="AR359" s="52" t="e">
        <v>#N/A</v>
      </c>
      <c r="AS359" s="52" t="e">
        <v>#N/A</v>
      </c>
      <c r="AT359" s="52" t="e">
        <v>#N/A</v>
      </c>
      <c r="AU359" s="52" t="e">
        <v>#N/A</v>
      </c>
      <c r="AV359" s="52" t="e">
        <v>#N/A</v>
      </c>
      <c r="AX359" s="52" t="e">
        <v>#N/A</v>
      </c>
      <c r="AY359" s="52" t="e">
        <v>#N/A</v>
      </c>
      <c r="AZ359" s="52" t="s">
        <v>39</v>
      </c>
      <c r="BA359" s="52" t="e">
        <v>#N/A</v>
      </c>
      <c r="BC359" s="52" t="e">
        <v>#N/A</v>
      </c>
      <c r="BD359" s="52" t="e">
        <v>#N/A</v>
      </c>
      <c r="BE359" s="52" t="e">
        <v>#N/A</v>
      </c>
      <c r="BG359" s="52" t="e">
        <v>#N/A</v>
      </c>
      <c r="BH359" s="52" t="e">
        <v>#N/A</v>
      </c>
      <c r="BI359" s="52" t="e">
        <v>#N/A</v>
      </c>
    </row>
    <row r="360">
      <c r="H360" s="52" t="e">
        <v>#N/A</v>
      </c>
      <c r="I360" s="52" t="e">
        <v>#N/A</v>
      </c>
      <c r="J360" s="52" t="e">
        <v>#N/A</v>
      </c>
      <c r="K360" s="52" t="e">
        <v>#N/A</v>
      </c>
      <c r="L360" s="52" t="e">
        <v>#N/A</v>
      </c>
      <c r="N360" s="52" t="e">
        <v>#N/A</v>
      </c>
      <c r="O360" s="52" t="e">
        <v>#N/A</v>
      </c>
      <c r="P360" s="52" t="e">
        <v>#N/A</v>
      </c>
      <c r="Q360" s="52" t="e">
        <v>#N/A</v>
      </c>
      <c r="R360" s="52" t="e">
        <v>#N/A</v>
      </c>
      <c r="S360" s="52" t="e">
        <v>#N/A</v>
      </c>
      <c r="T360" s="52" t="e">
        <v>#N/A</v>
      </c>
      <c r="U360" s="52" t="e">
        <v>#N/A</v>
      </c>
      <c r="V360" s="52" t="e">
        <v>#N/A</v>
      </c>
      <c r="W360" s="52" t="e">
        <v>#N/A</v>
      </c>
      <c r="X360" s="52" t="e">
        <v>#N/A</v>
      </c>
      <c r="Y360" s="52" t="e">
        <v>#N/A</v>
      </c>
      <c r="Z360" s="52" t="e">
        <v>#N/A</v>
      </c>
      <c r="AA360" s="52" t="e">
        <v>#N/A</v>
      </c>
      <c r="AB360" s="52" t="e">
        <v>#N/A</v>
      </c>
      <c r="AC360" s="52" t="e">
        <v>#N/A</v>
      </c>
      <c r="AG360" s="52">
        <v>126.0</v>
      </c>
      <c r="AH360" s="52" t="e">
        <v>#N/A</v>
      </c>
      <c r="AI360" s="52" t="e">
        <v>#N/A</v>
      </c>
      <c r="AJ360" s="52" t="e">
        <v>#N/A</v>
      </c>
      <c r="AK360" s="52" t="e">
        <v>#N/A</v>
      </c>
      <c r="AL360" s="52" t="e">
        <v>#N/A</v>
      </c>
      <c r="AP360" s="52" t="e">
        <v>#N/A</v>
      </c>
      <c r="AQ360" s="52" t="e">
        <v>#N/A</v>
      </c>
      <c r="AR360" s="52" t="e">
        <v>#N/A</v>
      </c>
      <c r="AS360" s="52" t="e">
        <v>#N/A</v>
      </c>
      <c r="AT360" s="52" t="e">
        <v>#N/A</v>
      </c>
      <c r="AU360" s="52" t="e">
        <v>#N/A</v>
      </c>
      <c r="AV360" s="52" t="e">
        <v>#N/A</v>
      </c>
      <c r="AX360" s="52" t="e">
        <v>#N/A</v>
      </c>
      <c r="AY360" s="52" t="e">
        <v>#N/A</v>
      </c>
      <c r="AZ360" s="52" t="s">
        <v>39</v>
      </c>
      <c r="BA360" s="52" t="e">
        <v>#N/A</v>
      </c>
      <c r="BC360" s="52" t="e">
        <v>#N/A</v>
      </c>
      <c r="BD360" s="52" t="e">
        <v>#N/A</v>
      </c>
      <c r="BE360" s="52" t="e">
        <v>#N/A</v>
      </c>
      <c r="BG360" s="52" t="e">
        <v>#N/A</v>
      </c>
      <c r="BH360" s="52" t="e">
        <v>#N/A</v>
      </c>
      <c r="BI360" s="52" t="e">
        <v>#N/A</v>
      </c>
    </row>
    <row r="361">
      <c r="H361" s="52" t="e">
        <v>#N/A</v>
      </c>
      <c r="I361" s="52" t="e">
        <v>#N/A</v>
      </c>
      <c r="J361" s="52" t="e">
        <v>#N/A</v>
      </c>
      <c r="K361" s="52" t="e">
        <v>#N/A</v>
      </c>
      <c r="L361" s="52" t="e">
        <v>#N/A</v>
      </c>
      <c r="N361" s="52" t="e">
        <v>#N/A</v>
      </c>
      <c r="O361" s="52" t="e">
        <v>#N/A</v>
      </c>
      <c r="P361" s="52" t="e">
        <v>#N/A</v>
      </c>
      <c r="Q361" s="52" t="e">
        <v>#N/A</v>
      </c>
      <c r="R361" s="52" t="e">
        <v>#N/A</v>
      </c>
      <c r="S361" s="52" t="e">
        <v>#N/A</v>
      </c>
      <c r="T361" s="52" t="e">
        <v>#N/A</v>
      </c>
      <c r="U361" s="52" t="e">
        <v>#N/A</v>
      </c>
      <c r="V361" s="52" t="e">
        <v>#N/A</v>
      </c>
      <c r="W361" s="52" t="e">
        <v>#N/A</v>
      </c>
      <c r="X361" s="52" t="e">
        <v>#N/A</v>
      </c>
      <c r="Y361" s="52" t="e">
        <v>#N/A</v>
      </c>
      <c r="Z361" s="52" t="e">
        <v>#N/A</v>
      </c>
      <c r="AA361" s="52" t="e">
        <v>#N/A</v>
      </c>
      <c r="AB361" s="52" t="e">
        <v>#N/A</v>
      </c>
      <c r="AC361" s="52" t="e">
        <v>#N/A</v>
      </c>
      <c r="AG361" s="52">
        <v>126.0</v>
      </c>
      <c r="AH361" s="52" t="e">
        <v>#N/A</v>
      </c>
      <c r="AI361" s="52" t="e">
        <v>#N/A</v>
      </c>
      <c r="AJ361" s="52" t="e">
        <v>#N/A</v>
      </c>
      <c r="AK361" s="52" t="e">
        <v>#N/A</v>
      </c>
      <c r="AL361" s="52" t="e">
        <v>#N/A</v>
      </c>
      <c r="AP361" s="52" t="e">
        <v>#N/A</v>
      </c>
      <c r="AQ361" s="52" t="e">
        <v>#N/A</v>
      </c>
      <c r="AR361" s="52" t="e">
        <v>#N/A</v>
      </c>
      <c r="AS361" s="52" t="e">
        <v>#N/A</v>
      </c>
      <c r="AT361" s="52" t="e">
        <v>#N/A</v>
      </c>
      <c r="AU361" s="52" t="e">
        <v>#N/A</v>
      </c>
      <c r="AV361" s="52" t="e">
        <v>#N/A</v>
      </c>
      <c r="AX361" s="52" t="e">
        <v>#N/A</v>
      </c>
      <c r="AY361" s="52" t="e">
        <v>#N/A</v>
      </c>
      <c r="AZ361" s="52" t="s">
        <v>39</v>
      </c>
      <c r="BA361" s="52" t="e">
        <v>#N/A</v>
      </c>
      <c r="BC361" s="52" t="e">
        <v>#N/A</v>
      </c>
      <c r="BD361" s="52" t="e">
        <v>#N/A</v>
      </c>
      <c r="BE361" s="52" t="e">
        <v>#N/A</v>
      </c>
      <c r="BG361" s="52" t="e">
        <v>#N/A</v>
      </c>
      <c r="BH361" s="52" t="e">
        <v>#N/A</v>
      </c>
      <c r="BI361" s="52" t="e">
        <v>#N/A</v>
      </c>
    </row>
    <row r="362">
      <c r="H362" s="52" t="e">
        <v>#N/A</v>
      </c>
      <c r="I362" s="52" t="e">
        <v>#N/A</v>
      </c>
      <c r="J362" s="52" t="e">
        <v>#N/A</v>
      </c>
      <c r="K362" s="52" t="e">
        <v>#N/A</v>
      </c>
      <c r="L362" s="52" t="e">
        <v>#N/A</v>
      </c>
      <c r="N362" s="52" t="e">
        <v>#N/A</v>
      </c>
      <c r="O362" s="52" t="e">
        <v>#N/A</v>
      </c>
      <c r="P362" s="52" t="e">
        <v>#N/A</v>
      </c>
      <c r="Q362" s="52" t="e">
        <v>#N/A</v>
      </c>
      <c r="R362" s="52" t="e">
        <v>#N/A</v>
      </c>
      <c r="S362" s="52" t="e">
        <v>#N/A</v>
      </c>
      <c r="T362" s="52" t="e">
        <v>#N/A</v>
      </c>
      <c r="U362" s="52" t="e">
        <v>#N/A</v>
      </c>
      <c r="V362" s="52" t="e">
        <v>#N/A</v>
      </c>
      <c r="W362" s="52" t="e">
        <v>#N/A</v>
      </c>
      <c r="X362" s="52" t="e">
        <v>#N/A</v>
      </c>
      <c r="Y362" s="52" t="e">
        <v>#N/A</v>
      </c>
      <c r="Z362" s="52" t="e">
        <v>#N/A</v>
      </c>
      <c r="AA362" s="52" t="e">
        <v>#N/A</v>
      </c>
      <c r="AB362" s="52" t="e">
        <v>#N/A</v>
      </c>
      <c r="AC362" s="52" t="e">
        <v>#N/A</v>
      </c>
      <c r="AG362" s="52">
        <v>126.0</v>
      </c>
      <c r="AH362" s="52" t="e">
        <v>#N/A</v>
      </c>
      <c r="AI362" s="52" t="e">
        <v>#N/A</v>
      </c>
      <c r="AJ362" s="52" t="e">
        <v>#N/A</v>
      </c>
      <c r="AK362" s="52" t="e">
        <v>#N/A</v>
      </c>
      <c r="AL362" s="52" t="e">
        <v>#N/A</v>
      </c>
      <c r="AP362" s="52" t="e">
        <v>#N/A</v>
      </c>
      <c r="AQ362" s="52" t="e">
        <v>#N/A</v>
      </c>
      <c r="AR362" s="52" t="e">
        <v>#N/A</v>
      </c>
      <c r="AS362" s="52" t="e">
        <v>#N/A</v>
      </c>
      <c r="AT362" s="52" t="e">
        <v>#N/A</v>
      </c>
      <c r="AU362" s="52" t="e">
        <v>#N/A</v>
      </c>
      <c r="AV362" s="52" t="e">
        <v>#N/A</v>
      </c>
      <c r="AX362" s="52" t="e">
        <v>#N/A</v>
      </c>
      <c r="AY362" s="52" t="e">
        <v>#N/A</v>
      </c>
      <c r="AZ362" s="52" t="s">
        <v>39</v>
      </c>
      <c r="BA362" s="52" t="e">
        <v>#N/A</v>
      </c>
      <c r="BC362" s="52" t="e">
        <v>#N/A</v>
      </c>
      <c r="BD362" s="52" t="e">
        <v>#N/A</v>
      </c>
      <c r="BE362" s="52" t="e">
        <v>#N/A</v>
      </c>
      <c r="BG362" s="52" t="e">
        <v>#N/A</v>
      </c>
      <c r="BH362" s="52" t="e">
        <v>#N/A</v>
      </c>
      <c r="BI362" s="52" t="e">
        <v>#N/A</v>
      </c>
    </row>
    <row r="363">
      <c r="H363" s="52" t="e">
        <v>#N/A</v>
      </c>
      <c r="I363" s="52" t="e">
        <v>#N/A</v>
      </c>
      <c r="J363" s="52" t="e">
        <v>#N/A</v>
      </c>
      <c r="K363" s="52" t="e">
        <v>#N/A</v>
      </c>
      <c r="L363" s="52" t="e">
        <v>#N/A</v>
      </c>
      <c r="N363" s="52" t="e">
        <v>#N/A</v>
      </c>
      <c r="O363" s="52" t="e">
        <v>#N/A</v>
      </c>
      <c r="P363" s="52" t="e">
        <v>#N/A</v>
      </c>
      <c r="Q363" s="52" t="e">
        <v>#N/A</v>
      </c>
      <c r="R363" s="52" t="e">
        <v>#N/A</v>
      </c>
      <c r="S363" s="52" t="e">
        <v>#N/A</v>
      </c>
      <c r="T363" s="52" t="e">
        <v>#N/A</v>
      </c>
      <c r="U363" s="52" t="e">
        <v>#N/A</v>
      </c>
      <c r="V363" s="52" t="e">
        <v>#N/A</v>
      </c>
      <c r="W363" s="52" t="e">
        <v>#N/A</v>
      </c>
      <c r="X363" s="52" t="e">
        <v>#N/A</v>
      </c>
      <c r="Y363" s="52" t="e">
        <v>#N/A</v>
      </c>
      <c r="Z363" s="52" t="e">
        <v>#N/A</v>
      </c>
      <c r="AA363" s="52" t="e">
        <v>#N/A</v>
      </c>
      <c r="AB363" s="52" t="e">
        <v>#N/A</v>
      </c>
      <c r="AC363" s="52" t="e">
        <v>#N/A</v>
      </c>
      <c r="AG363" s="52">
        <v>126.0</v>
      </c>
      <c r="AH363" s="52" t="e">
        <v>#N/A</v>
      </c>
      <c r="AI363" s="52" t="e">
        <v>#N/A</v>
      </c>
      <c r="AJ363" s="52" t="e">
        <v>#N/A</v>
      </c>
      <c r="AK363" s="52" t="e">
        <v>#N/A</v>
      </c>
      <c r="AL363" s="52" t="e">
        <v>#N/A</v>
      </c>
      <c r="AP363" s="52" t="e">
        <v>#N/A</v>
      </c>
      <c r="AQ363" s="52" t="e">
        <v>#N/A</v>
      </c>
      <c r="AR363" s="52" t="e">
        <v>#N/A</v>
      </c>
      <c r="AS363" s="52" t="e">
        <v>#N/A</v>
      </c>
      <c r="AT363" s="52" t="e">
        <v>#N/A</v>
      </c>
      <c r="AU363" s="52" t="e">
        <v>#N/A</v>
      </c>
      <c r="AV363" s="52" t="e">
        <v>#N/A</v>
      </c>
      <c r="AX363" s="52" t="e">
        <v>#N/A</v>
      </c>
      <c r="AY363" s="52" t="e">
        <v>#N/A</v>
      </c>
      <c r="AZ363" s="52" t="s">
        <v>39</v>
      </c>
      <c r="BA363" s="52" t="e">
        <v>#N/A</v>
      </c>
      <c r="BC363" s="52" t="e">
        <v>#N/A</v>
      </c>
      <c r="BD363" s="52" t="e">
        <v>#N/A</v>
      </c>
      <c r="BE363" s="52" t="e">
        <v>#N/A</v>
      </c>
      <c r="BG363" s="52" t="e">
        <v>#N/A</v>
      </c>
      <c r="BH363" s="52" t="e">
        <v>#N/A</v>
      </c>
      <c r="BI363" s="52" t="e">
        <v>#N/A</v>
      </c>
    </row>
    <row r="364">
      <c r="H364" s="52" t="e">
        <v>#N/A</v>
      </c>
      <c r="I364" s="52" t="e">
        <v>#N/A</v>
      </c>
      <c r="J364" s="52" t="e">
        <v>#N/A</v>
      </c>
      <c r="K364" s="52" t="e">
        <v>#N/A</v>
      </c>
      <c r="L364" s="52" t="e">
        <v>#N/A</v>
      </c>
      <c r="N364" s="52" t="e">
        <v>#N/A</v>
      </c>
      <c r="O364" s="52" t="e">
        <v>#N/A</v>
      </c>
      <c r="P364" s="52" t="e">
        <v>#N/A</v>
      </c>
      <c r="Q364" s="52" t="e">
        <v>#N/A</v>
      </c>
      <c r="R364" s="52" t="e">
        <v>#N/A</v>
      </c>
      <c r="S364" s="52" t="e">
        <v>#N/A</v>
      </c>
      <c r="T364" s="52" t="e">
        <v>#N/A</v>
      </c>
      <c r="U364" s="52" t="e">
        <v>#N/A</v>
      </c>
      <c r="V364" s="52" t="e">
        <v>#N/A</v>
      </c>
      <c r="W364" s="52" t="e">
        <v>#N/A</v>
      </c>
      <c r="X364" s="52" t="e">
        <v>#N/A</v>
      </c>
      <c r="Y364" s="52" t="e">
        <v>#N/A</v>
      </c>
      <c r="Z364" s="52" t="e">
        <v>#N/A</v>
      </c>
      <c r="AA364" s="52" t="e">
        <v>#N/A</v>
      </c>
      <c r="AB364" s="52" t="e">
        <v>#N/A</v>
      </c>
      <c r="AC364" s="52" t="e">
        <v>#N/A</v>
      </c>
      <c r="AG364" s="52">
        <v>126.0</v>
      </c>
      <c r="AH364" s="52" t="e">
        <v>#N/A</v>
      </c>
      <c r="AI364" s="52" t="e">
        <v>#N/A</v>
      </c>
      <c r="AJ364" s="52" t="e">
        <v>#N/A</v>
      </c>
      <c r="AK364" s="52" t="e">
        <v>#N/A</v>
      </c>
      <c r="AL364" s="52" t="e">
        <v>#N/A</v>
      </c>
      <c r="AP364" s="52" t="e">
        <v>#N/A</v>
      </c>
      <c r="AQ364" s="52" t="e">
        <v>#N/A</v>
      </c>
      <c r="AR364" s="52" t="e">
        <v>#N/A</v>
      </c>
      <c r="AS364" s="52" t="e">
        <v>#N/A</v>
      </c>
      <c r="AT364" s="52" t="e">
        <v>#N/A</v>
      </c>
      <c r="AU364" s="52" t="e">
        <v>#N/A</v>
      </c>
      <c r="AV364" s="52" t="e">
        <v>#N/A</v>
      </c>
      <c r="AX364" s="52" t="e">
        <v>#N/A</v>
      </c>
      <c r="AY364" s="52" t="e">
        <v>#N/A</v>
      </c>
      <c r="AZ364" s="52" t="s">
        <v>39</v>
      </c>
      <c r="BA364" s="52" t="e">
        <v>#N/A</v>
      </c>
      <c r="BC364" s="52" t="e">
        <v>#N/A</v>
      </c>
      <c r="BD364" s="52" t="e">
        <v>#N/A</v>
      </c>
      <c r="BE364" s="52" t="e">
        <v>#N/A</v>
      </c>
      <c r="BG364" s="52" t="e">
        <v>#N/A</v>
      </c>
      <c r="BH364" s="52" t="e">
        <v>#N/A</v>
      </c>
      <c r="BI364" s="52" t="e">
        <v>#N/A</v>
      </c>
    </row>
    <row r="365">
      <c r="H365" s="52" t="e">
        <v>#N/A</v>
      </c>
      <c r="I365" s="52" t="e">
        <v>#N/A</v>
      </c>
      <c r="J365" s="52" t="e">
        <v>#N/A</v>
      </c>
      <c r="K365" s="52" t="e">
        <v>#N/A</v>
      </c>
      <c r="L365" s="52" t="e">
        <v>#N/A</v>
      </c>
      <c r="N365" s="52" t="e">
        <v>#N/A</v>
      </c>
      <c r="O365" s="52" t="e">
        <v>#N/A</v>
      </c>
      <c r="P365" s="52" t="e">
        <v>#N/A</v>
      </c>
      <c r="Q365" s="52" t="e">
        <v>#N/A</v>
      </c>
      <c r="R365" s="52" t="e">
        <v>#N/A</v>
      </c>
      <c r="S365" s="52" t="e">
        <v>#N/A</v>
      </c>
      <c r="T365" s="52" t="e">
        <v>#N/A</v>
      </c>
      <c r="U365" s="52" t="e">
        <v>#N/A</v>
      </c>
      <c r="V365" s="52" t="e">
        <v>#N/A</v>
      </c>
      <c r="W365" s="52" t="e">
        <v>#N/A</v>
      </c>
      <c r="X365" s="52" t="e">
        <v>#N/A</v>
      </c>
      <c r="Y365" s="52" t="e">
        <v>#N/A</v>
      </c>
      <c r="Z365" s="52" t="e">
        <v>#N/A</v>
      </c>
      <c r="AA365" s="52" t="e">
        <v>#N/A</v>
      </c>
      <c r="AB365" s="52" t="e">
        <v>#N/A</v>
      </c>
      <c r="AC365" s="52" t="e">
        <v>#N/A</v>
      </c>
      <c r="AG365" s="52">
        <v>126.0</v>
      </c>
      <c r="AH365" s="52" t="e">
        <v>#N/A</v>
      </c>
      <c r="AI365" s="52" t="e">
        <v>#N/A</v>
      </c>
      <c r="AJ365" s="52" t="e">
        <v>#N/A</v>
      </c>
      <c r="AK365" s="52" t="e">
        <v>#N/A</v>
      </c>
      <c r="AL365" s="52" t="e">
        <v>#N/A</v>
      </c>
      <c r="AP365" s="52" t="e">
        <v>#N/A</v>
      </c>
      <c r="AQ365" s="52" t="e">
        <v>#N/A</v>
      </c>
      <c r="AR365" s="52" t="e">
        <v>#N/A</v>
      </c>
      <c r="AS365" s="52" t="e">
        <v>#N/A</v>
      </c>
      <c r="AT365" s="52" t="e">
        <v>#N/A</v>
      </c>
      <c r="AU365" s="52" t="e">
        <v>#N/A</v>
      </c>
      <c r="AV365" s="52" t="e">
        <v>#N/A</v>
      </c>
      <c r="AX365" s="52" t="e">
        <v>#N/A</v>
      </c>
      <c r="AY365" s="52" t="e">
        <v>#N/A</v>
      </c>
      <c r="AZ365" s="52" t="s">
        <v>39</v>
      </c>
      <c r="BA365" s="52" t="e">
        <v>#N/A</v>
      </c>
      <c r="BC365" s="52" t="e">
        <v>#N/A</v>
      </c>
      <c r="BD365" s="52" t="e">
        <v>#N/A</v>
      </c>
      <c r="BE365" s="52" t="e">
        <v>#N/A</v>
      </c>
      <c r="BG365" s="52" t="e">
        <v>#N/A</v>
      </c>
      <c r="BH365" s="52" t="e">
        <v>#N/A</v>
      </c>
      <c r="BI365" s="52" t="e">
        <v>#N/A</v>
      </c>
    </row>
    <row r="366">
      <c r="H366" s="52" t="e">
        <v>#N/A</v>
      </c>
      <c r="I366" s="52" t="e">
        <v>#N/A</v>
      </c>
      <c r="J366" s="52" t="e">
        <v>#N/A</v>
      </c>
      <c r="K366" s="52" t="e">
        <v>#N/A</v>
      </c>
      <c r="L366" s="52" t="e">
        <v>#N/A</v>
      </c>
      <c r="N366" s="52" t="e">
        <v>#N/A</v>
      </c>
      <c r="O366" s="52" t="e">
        <v>#N/A</v>
      </c>
      <c r="P366" s="52" t="e">
        <v>#N/A</v>
      </c>
      <c r="Q366" s="52" t="e">
        <v>#N/A</v>
      </c>
      <c r="R366" s="52" t="e">
        <v>#N/A</v>
      </c>
      <c r="S366" s="52" t="e">
        <v>#N/A</v>
      </c>
      <c r="T366" s="52" t="e">
        <v>#N/A</v>
      </c>
      <c r="U366" s="52" t="e">
        <v>#N/A</v>
      </c>
      <c r="V366" s="52" t="e">
        <v>#N/A</v>
      </c>
      <c r="W366" s="52" t="e">
        <v>#N/A</v>
      </c>
      <c r="X366" s="52" t="e">
        <v>#N/A</v>
      </c>
      <c r="Y366" s="52" t="e">
        <v>#N/A</v>
      </c>
      <c r="Z366" s="52" t="e">
        <v>#N/A</v>
      </c>
      <c r="AA366" s="52" t="e">
        <v>#N/A</v>
      </c>
      <c r="AB366" s="52" t="e">
        <v>#N/A</v>
      </c>
      <c r="AC366" s="52" t="e">
        <v>#N/A</v>
      </c>
      <c r="AG366" s="52">
        <v>126.0</v>
      </c>
      <c r="AH366" s="52" t="e">
        <v>#N/A</v>
      </c>
      <c r="AI366" s="52" t="e">
        <v>#N/A</v>
      </c>
      <c r="AJ366" s="52" t="e">
        <v>#N/A</v>
      </c>
      <c r="AK366" s="52" t="e">
        <v>#N/A</v>
      </c>
      <c r="AL366" s="52" t="e">
        <v>#N/A</v>
      </c>
      <c r="AP366" s="52" t="e">
        <v>#N/A</v>
      </c>
      <c r="AQ366" s="52" t="e">
        <v>#N/A</v>
      </c>
      <c r="AR366" s="52" t="e">
        <v>#N/A</v>
      </c>
      <c r="AS366" s="52" t="e">
        <v>#N/A</v>
      </c>
      <c r="AT366" s="52" t="e">
        <v>#N/A</v>
      </c>
      <c r="AU366" s="52" t="e">
        <v>#N/A</v>
      </c>
      <c r="AV366" s="52" t="e">
        <v>#N/A</v>
      </c>
      <c r="AX366" s="52" t="e">
        <v>#N/A</v>
      </c>
      <c r="AY366" s="52" t="e">
        <v>#N/A</v>
      </c>
      <c r="AZ366" s="52" t="s">
        <v>39</v>
      </c>
      <c r="BA366" s="52" t="e">
        <v>#N/A</v>
      </c>
      <c r="BC366" s="52" t="e">
        <v>#N/A</v>
      </c>
      <c r="BD366" s="52" t="e">
        <v>#N/A</v>
      </c>
      <c r="BE366" s="52" t="e">
        <v>#N/A</v>
      </c>
      <c r="BG366" s="52" t="e">
        <v>#N/A</v>
      </c>
      <c r="BH366" s="52" t="e">
        <v>#N/A</v>
      </c>
      <c r="BI366" s="52" t="e">
        <v>#N/A</v>
      </c>
    </row>
    <row r="367">
      <c r="AI367" s="52" t="e">
        <v>#N/A</v>
      </c>
      <c r="AX367" s="52" t="e">
        <v>#N/A</v>
      </c>
      <c r="AZ367" s="52" t="s">
        <v>39</v>
      </c>
    </row>
    <row r="368">
      <c r="AI368" s="52" t="e">
        <v>#N/A</v>
      </c>
      <c r="AX368" s="52" t="e">
        <v>#N/A</v>
      </c>
      <c r="AZ368" s="52" t="s">
        <v>39</v>
      </c>
    </row>
    <row r="369">
      <c r="AI369" s="52" t="e">
        <v>#N/A</v>
      </c>
      <c r="AX369" s="52" t="e">
        <v>#N/A</v>
      </c>
      <c r="AZ369" s="52" t="s">
        <v>39</v>
      </c>
    </row>
    <row r="370">
      <c r="AI370" s="52" t="e">
        <v>#N/A</v>
      </c>
      <c r="AX370" s="52" t="e">
        <v>#N/A</v>
      </c>
      <c r="AZ370" s="52" t="s">
        <v>39</v>
      </c>
    </row>
    <row r="371">
      <c r="AI371" s="52" t="e">
        <v>#N/A</v>
      </c>
      <c r="AX371" s="52" t="e">
        <v>#N/A</v>
      </c>
      <c r="AZ371" s="52" t="s">
        <v>39</v>
      </c>
    </row>
    <row r="372">
      <c r="AI372" s="52" t="e">
        <v>#N/A</v>
      </c>
      <c r="AX372" s="52" t="e">
        <v>#N/A</v>
      </c>
      <c r="AZ372" s="52" t="s">
        <v>39</v>
      </c>
    </row>
    <row r="373">
      <c r="AI373" s="52" t="e">
        <v>#N/A</v>
      </c>
      <c r="AX373" s="52" t="e">
        <v>#N/A</v>
      </c>
      <c r="AZ373" s="52" t="s">
        <v>39</v>
      </c>
    </row>
    <row r="374">
      <c r="AI374" s="52" t="e">
        <v>#N/A</v>
      </c>
      <c r="AX374" s="52" t="e">
        <v>#N/A</v>
      </c>
      <c r="AZ374" s="52" t="s">
        <v>39</v>
      </c>
    </row>
    <row r="375">
      <c r="AI375" s="52" t="e">
        <v>#N/A</v>
      </c>
      <c r="AX375" s="52" t="e">
        <v>#N/A</v>
      </c>
      <c r="AZ375" s="52" t="s">
        <v>39</v>
      </c>
    </row>
    <row r="376">
      <c r="AI376" s="52" t="e">
        <v>#N/A</v>
      </c>
      <c r="AX376" s="52" t="e">
        <v>#N/A</v>
      </c>
      <c r="AZ376" s="52" t="s">
        <v>39</v>
      </c>
    </row>
    <row r="377">
      <c r="AI377" s="52" t="e">
        <v>#N/A</v>
      </c>
      <c r="AX377" s="52" t="e">
        <v>#N/A</v>
      </c>
      <c r="AZ377" s="52" t="s">
        <v>39</v>
      </c>
    </row>
    <row r="378">
      <c r="AI378" s="52" t="e">
        <v>#N/A</v>
      </c>
      <c r="AX378" s="52" t="e">
        <v>#N/A</v>
      </c>
      <c r="AZ378" s="52" t="s">
        <v>39</v>
      </c>
    </row>
    <row r="379">
      <c r="AI379" s="52" t="e">
        <v>#N/A</v>
      </c>
      <c r="AX379" s="52" t="e">
        <v>#N/A</v>
      </c>
      <c r="AZ379" s="52" t="s">
        <v>39</v>
      </c>
    </row>
    <row r="380">
      <c r="AI380" s="52" t="e">
        <v>#N/A</v>
      </c>
      <c r="AX380" s="52" t="e">
        <v>#N/A</v>
      </c>
      <c r="AZ380" s="52" t="s">
        <v>39</v>
      </c>
    </row>
    <row r="381">
      <c r="AI381" s="52" t="e">
        <v>#N/A</v>
      </c>
      <c r="AX381" s="52" t="e">
        <v>#N/A</v>
      </c>
      <c r="AZ381" s="52" t="s">
        <v>39</v>
      </c>
    </row>
    <row r="382">
      <c r="AI382" s="52" t="e">
        <v>#N/A</v>
      </c>
      <c r="AX382" s="52" t="e">
        <v>#N/A</v>
      </c>
      <c r="AZ382" s="52" t="s">
        <v>39</v>
      </c>
    </row>
    <row r="383">
      <c r="AI383" s="52" t="e">
        <v>#N/A</v>
      </c>
      <c r="AX383" s="52" t="e">
        <v>#N/A</v>
      </c>
      <c r="AZ383" s="52" t="s">
        <v>39</v>
      </c>
    </row>
    <row r="384">
      <c r="AI384" s="52" t="e">
        <v>#N/A</v>
      </c>
      <c r="AZ384" s="52" t="s">
        <v>39</v>
      </c>
    </row>
    <row r="385">
      <c r="AI385" s="52" t="e">
        <v>#N/A</v>
      </c>
      <c r="AZ385" s="52" t="s">
        <v>39</v>
      </c>
    </row>
    <row r="386">
      <c r="AI386" s="52" t="e">
        <v>#N/A</v>
      </c>
      <c r="AZ386" s="52" t="s">
        <v>39</v>
      </c>
    </row>
    <row r="387">
      <c r="AI387" s="52" t="e">
        <v>#N/A</v>
      </c>
      <c r="AZ387" s="52" t="s">
        <v>39</v>
      </c>
    </row>
    <row r="388">
      <c r="AI388" s="52" t="e">
        <v>#N/A</v>
      </c>
      <c r="AZ388" s="52" t="s">
        <v>39</v>
      </c>
    </row>
    <row r="389">
      <c r="AI389" s="52" t="e">
        <v>#N/A</v>
      </c>
      <c r="AZ389" s="52" t="s">
        <v>39</v>
      </c>
    </row>
    <row r="390">
      <c r="AI390" s="52" t="e">
        <v>#N/A</v>
      </c>
      <c r="AZ390" s="52" t="s">
        <v>39</v>
      </c>
    </row>
    <row r="391">
      <c r="AI391" s="52" t="e">
        <v>#N/A</v>
      </c>
      <c r="AZ391" s="52" t="s">
        <v>39</v>
      </c>
    </row>
    <row r="392">
      <c r="AI392" s="52" t="e">
        <v>#N/A</v>
      </c>
      <c r="AZ392" s="52" t="s">
        <v>39</v>
      </c>
    </row>
    <row r="393">
      <c r="AI393" s="52" t="e">
        <v>#N/A</v>
      </c>
      <c r="AZ393" s="52" t="s">
        <v>39</v>
      </c>
    </row>
    <row r="394">
      <c r="AI394" s="52" t="e">
        <v>#N/A</v>
      </c>
      <c r="AZ394" s="52" t="s">
        <v>39</v>
      </c>
    </row>
    <row r="395">
      <c r="AI395" s="52" t="e">
        <v>#N/A</v>
      </c>
      <c r="AZ395" s="52" t="s">
        <v>39</v>
      </c>
    </row>
    <row r="396">
      <c r="AI396" s="52" t="e">
        <v>#N/A</v>
      </c>
      <c r="AZ396" s="52" t="s">
        <v>39</v>
      </c>
    </row>
    <row r="397">
      <c r="AI397" s="52" t="e">
        <v>#N/A</v>
      </c>
      <c r="AZ397" s="52" t="s">
        <v>39</v>
      </c>
    </row>
    <row r="398">
      <c r="AI398" s="52" t="e">
        <v>#N/A</v>
      </c>
      <c r="AZ398" s="52" t="s">
        <v>39</v>
      </c>
    </row>
    <row r="399">
      <c r="AI399" s="52" t="e">
        <v>#N/A</v>
      </c>
      <c r="AZ399" s="52" t="s">
        <v>39</v>
      </c>
    </row>
    <row r="400">
      <c r="AI400" s="52" t="e">
        <v>#N/A</v>
      </c>
      <c r="AZ400" s="52" t="s">
        <v>39</v>
      </c>
    </row>
    <row r="401">
      <c r="AI401" s="52" t="e">
        <v>#N/A</v>
      </c>
      <c r="AZ401" s="52" t="s">
        <v>39</v>
      </c>
    </row>
    <row r="402">
      <c r="AI402" s="52" t="e">
        <v>#N/A</v>
      </c>
      <c r="AZ402" s="52" t="s">
        <v>39</v>
      </c>
    </row>
    <row r="403">
      <c r="AI403" s="52" t="e">
        <v>#N/A</v>
      </c>
      <c r="AZ403" s="52" t="s">
        <v>39</v>
      </c>
    </row>
    <row r="404">
      <c r="AI404" s="52" t="e">
        <v>#N/A</v>
      </c>
      <c r="AZ404" s="52" t="s">
        <v>39</v>
      </c>
    </row>
    <row r="405">
      <c r="AI405" s="52" t="e">
        <v>#N/A</v>
      </c>
      <c r="AZ405" s="52" t="s">
        <v>39</v>
      </c>
    </row>
    <row r="406">
      <c r="AI406" s="52" t="e">
        <v>#N/A</v>
      </c>
    </row>
    <row r="407">
      <c r="AI407" s="52" t="e">
        <v>#N/A</v>
      </c>
    </row>
    <row r="408">
      <c r="AI408" s="52" t="e">
        <v>#N/A</v>
      </c>
    </row>
    <row r="409">
      <c r="AI409" s="52" t="e">
        <v>#N/A</v>
      </c>
    </row>
    <row r="410">
      <c r="AI410" s="52" t="e">
        <v>#N/A</v>
      </c>
    </row>
    <row r="411">
      <c r="AI411" s="52" t="e">
        <v>#N/A</v>
      </c>
    </row>
    <row r="412">
      <c r="AI412" s="52" t="e">
        <v>#N/A</v>
      </c>
    </row>
    <row r="413">
      <c r="AI413" s="52" t="e">
        <v>#N/A</v>
      </c>
    </row>
    <row r="414">
      <c r="AI414" s="52" t="e">
        <v>#N/A</v>
      </c>
    </row>
    <row r="415">
      <c r="AI415" s="52" t="e">
        <v>#N/A</v>
      </c>
    </row>
    <row r="416">
      <c r="AI416" s="52" t="e">
        <v>#N/A</v>
      </c>
    </row>
    <row r="417">
      <c r="AI417" s="52" t="e">
        <v>#N/A</v>
      </c>
    </row>
  </sheetData>
  <hyperlinks>
    <hyperlink r:id="rId1" ref="AZ4"/>
    <hyperlink r:id="rId2" ref="BA4"/>
    <hyperlink r:id="rId3" ref="AZ5"/>
    <hyperlink r:id="rId4" ref="BA5"/>
    <hyperlink r:id="rId5" ref="AZ6"/>
    <hyperlink r:id="rId6" ref="BA6"/>
    <hyperlink r:id="rId7" ref="AZ7"/>
    <hyperlink r:id="rId8" ref="BA7"/>
    <hyperlink r:id="rId9" ref="AZ8"/>
    <hyperlink r:id="rId10" ref="BA8"/>
    <hyperlink r:id="rId11" ref="AZ9"/>
    <hyperlink r:id="rId12" ref="BA9"/>
    <hyperlink r:id="rId13" ref="AZ10"/>
    <hyperlink r:id="rId14" ref="BA10"/>
    <hyperlink r:id="rId15" ref="AZ11"/>
    <hyperlink r:id="rId16" ref="BA11"/>
    <hyperlink r:id="rId17" ref="AZ12"/>
    <hyperlink r:id="rId18" ref="BA12"/>
    <hyperlink r:id="rId19" ref="AZ13"/>
    <hyperlink r:id="rId20" ref="BA13"/>
    <hyperlink r:id="rId21" ref="AZ14"/>
    <hyperlink r:id="rId22" ref="BA14"/>
    <hyperlink r:id="rId23" ref="AZ15"/>
    <hyperlink r:id="rId24" ref="BA15"/>
    <hyperlink r:id="rId25" ref="AZ16"/>
    <hyperlink r:id="rId26" ref="BA16"/>
    <hyperlink r:id="rId27" ref="AZ17"/>
    <hyperlink r:id="rId28" ref="BA17"/>
    <hyperlink r:id="rId29" ref="AZ18"/>
    <hyperlink r:id="rId30" ref="BA18"/>
    <hyperlink r:id="rId31" ref="AZ20"/>
    <hyperlink r:id="rId32" ref="BA20"/>
    <hyperlink r:id="rId33" ref="AZ22"/>
    <hyperlink r:id="rId34" ref="BA22"/>
    <hyperlink r:id="rId35" ref="AZ23"/>
    <hyperlink r:id="rId36" ref="BA23"/>
    <hyperlink r:id="rId37" ref="AZ24"/>
    <hyperlink r:id="rId38" ref="BA24"/>
    <hyperlink r:id="rId39" ref="AZ25"/>
    <hyperlink r:id="rId40" ref="BA25"/>
    <hyperlink r:id="rId41" ref="AZ26"/>
    <hyperlink r:id="rId42" ref="BA26"/>
    <hyperlink r:id="rId43" ref="AZ27"/>
    <hyperlink r:id="rId44" ref="BA27"/>
    <hyperlink r:id="rId45" ref="AZ29"/>
    <hyperlink r:id="rId46" ref="BA29"/>
    <hyperlink r:id="rId47" ref="AZ30"/>
    <hyperlink r:id="rId48" ref="BA30"/>
    <hyperlink r:id="rId49" ref="AZ32"/>
    <hyperlink r:id="rId50" ref="BA32"/>
    <hyperlink r:id="rId51" ref="AZ33"/>
    <hyperlink r:id="rId52" ref="BA33"/>
    <hyperlink r:id="rId53" ref="AZ35"/>
    <hyperlink r:id="rId54" ref="BA35"/>
    <hyperlink r:id="rId55" ref="BA37"/>
    <hyperlink r:id="rId56" ref="BA38"/>
    <hyperlink r:id="rId57" ref="BA39"/>
    <hyperlink r:id="rId58" ref="BA40"/>
    <hyperlink r:id="rId59" ref="BA41"/>
    <hyperlink r:id="rId60" ref="BA42"/>
    <hyperlink r:id="rId61" ref="BA43"/>
    <hyperlink r:id="rId62" ref="BA44"/>
    <hyperlink r:id="rId63" ref="BA45"/>
    <hyperlink r:id="rId64" ref="BA46"/>
    <hyperlink r:id="rId65" ref="BA47"/>
    <hyperlink r:id="rId66" ref="BA48"/>
    <hyperlink r:id="rId67" ref="BA49"/>
    <hyperlink r:id="rId68" ref="BA50"/>
    <hyperlink r:id="rId69" ref="BA51"/>
    <hyperlink r:id="rId70" ref="BA52"/>
    <hyperlink r:id="rId71" ref="BA53"/>
    <hyperlink r:id="rId72" ref="BA54"/>
    <hyperlink r:id="rId73" ref="BA55"/>
    <hyperlink r:id="rId74" location=":~:text=https%3A//community.secop.gov.co/Public/Tendering/ContractNoticePhases/View%3FPPI%3DCO1.PPI.36642527%26isFromPublicArea%3DTrue%26isModal%3DFalse" ref="BA56"/>
    <hyperlink r:id="rId75" ref="BA57"/>
    <hyperlink r:id="rId76" ref="BA58"/>
    <hyperlink r:id="rId77" ref="BA59"/>
    <hyperlink r:id="rId78" ref="BA60"/>
    <hyperlink r:id="rId79" ref="BA61"/>
    <hyperlink r:id="rId80" ref="BA62"/>
    <hyperlink r:id="rId81" ref="BA63"/>
    <hyperlink r:id="rId82" ref="BA64"/>
    <hyperlink r:id="rId83" ref="BA65"/>
    <hyperlink r:id="rId84" ref="BA66"/>
    <hyperlink r:id="rId85" ref="BA67"/>
    <hyperlink r:id="rId86" ref="BA68"/>
    <hyperlink r:id="rId87" ref="AZ69"/>
    <hyperlink r:id="rId88" ref="BA69"/>
    <hyperlink r:id="rId89" ref="BA70"/>
    <hyperlink r:id="rId90" ref="BA72"/>
    <hyperlink r:id="rId91" ref="BA74"/>
    <hyperlink r:id="rId92" ref="BA76"/>
    <hyperlink r:id="rId93" ref="BA78"/>
    <hyperlink r:id="rId94" ref="BA80"/>
    <hyperlink r:id="rId95" ref="BA81"/>
    <hyperlink r:id="rId96" ref="BA83"/>
    <hyperlink r:id="rId97" ref="BA85"/>
    <hyperlink r:id="rId98" ref="BA87"/>
    <hyperlink r:id="rId99" ref="BA89"/>
    <hyperlink r:id="rId100" ref="BA91"/>
    <hyperlink r:id="rId101" ref="BA93"/>
    <hyperlink r:id="rId102" ref="BA95"/>
    <hyperlink r:id="rId103" ref="BA97"/>
    <hyperlink r:id="rId104" ref="BA99"/>
    <hyperlink r:id="rId105" ref="BA101"/>
    <hyperlink r:id="rId106" ref="BA102"/>
    <hyperlink r:id="rId107" ref="BA103"/>
    <hyperlink r:id="rId108" ref="BA104"/>
    <hyperlink r:id="rId109" ref="BA105"/>
    <hyperlink r:id="rId110" ref="BA106"/>
    <hyperlink r:id="rId111" ref="BA107"/>
    <hyperlink r:id="rId112" ref="BA108"/>
    <hyperlink r:id="rId113" ref="BA109"/>
    <hyperlink r:id="rId114" ref="BA110"/>
    <hyperlink r:id="rId115" ref="BA111"/>
    <hyperlink r:id="rId116" ref="BA112"/>
    <hyperlink r:id="rId117" ref="BA113"/>
    <hyperlink r:id="rId118" ref="BA114"/>
    <hyperlink r:id="rId119" ref="BA115"/>
    <hyperlink r:id="rId120" ref="BA116"/>
    <hyperlink r:id="rId121" ref="BA117"/>
    <hyperlink r:id="rId122" ref="BA118"/>
    <hyperlink r:id="rId123" ref="BA119"/>
    <hyperlink r:id="rId124" ref="BA120"/>
    <hyperlink r:id="rId125" ref="BA121"/>
    <hyperlink r:id="rId126" ref="BA122"/>
    <hyperlink r:id="rId127" ref="BA123"/>
    <hyperlink r:id="rId128" ref="BA125"/>
    <hyperlink r:id="rId129" ref="BA126"/>
    <hyperlink r:id="rId130" ref="BA127"/>
    <hyperlink r:id="rId131" ref="BA128"/>
    <hyperlink r:id="rId132" ref="BA129"/>
    <hyperlink r:id="rId133" ref="BA130"/>
    <hyperlink r:id="rId134" ref="BA131"/>
    <hyperlink r:id="rId135" ref="BA133"/>
    <hyperlink r:id="rId136" ref="BA134"/>
    <hyperlink r:id="rId137" ref="BA135"/>
    <hyperlink r:id="rId138" ref="BA136"/>
    <hyperlink r:id="rId139" ref="BA137"/>
    <hyperlink r:id="rId140" ref="BA138"/>
    <hyperlink r:id="rId141" ref="BA139"/>
    <hyperlink r:id="rId142" ref="BA140"/>
    <hyperlink r:id="rId143" ref="BA141"/>
    <hyperlink r:id="rId144" ref="BA142"/>
    <hyperlink r:id="rId145" ref="BA143"/>
    <hyperlink r:id="rId146" ref="BA144"/>
    <hyperlink r:id="rId147" ref="BA145"/>
    <hyperlink r:id="rId148" ref="BA146"/>
    <hyperlink r:id="rId149" ref="BA147"/>
    <hyperlink r:id="rId150" ref="BA148"/>
    <hyperlink r:id="rId151" ref="BA149"/>
    <hyperlink r:id="rId152" ref="BA150"/>
    <hyperlink r:id="rId153" ref="BA151"/>
    <hyperlink r:id="rId154" ref="BA152"/>
    <hyperlink r:id="rId155" ref="BA153"/>
    <hyperlink r:id="rId156" ref="BA154"/>
    <hyperlink r:id="rId157" ref="BA155"/>
    <hyperlink r:id="rId158" ref="BA156"/>
    <hyperlink r:id="rId159" ref="BA157"/>
    <hyperlink r:id="rId160" ref="BA158"/>
    <hyperlink r:id="rId161" ref="BA159"/>
    <hyperlink r:id="rId162" ref="BA160"/>
    <hyperlink r:id="rId163" ref="BA161"/>
    <hyperlink r:id="rId164" ref="BA162"/>
    <hyperlink r:id="rId165" ref="BA163"/>
    <hyperlink r:id="rId166" ref="BA164"/>
    <hyperlink r:id="rId167" ref="BA165"/>
    <hyperlink r:id="rId168" ref="BA166"/>
    <hyperlink r:id="rId169" ref="BA167"/>
    <hyperlink r:id="rId170" ref="BA168"/>
    <hyperlink r:id="rId171" ref="BA169"/>
    <hyperlink r:id="rId172" ref="BA170"/>
    <hyperlink r:id="rId173" ref="BA171"/>
    <hyperlink r:id="rId174" ref="BA172"/>
    <hyperlink r:id="rId175" ref="BA173"/>
    <hyperlink r:id="rId176" ref="BA174"/>
    <hyperlink r:id="rId177" ref="BA175"/>
    <hyperlink r:id="rId178" ref="BA176"/>
    <hyperlink r:id="rId179" ref="BA177"/>
    <hyperlink r:id="rId180" ref="BA178"/>
    <hyperlink r:id="rId181" ref="BA179"/>
    <hyperlink r:id="rId182" ref="BA180"/>
    <hyperlink r:id="rId183" ref="BA181"/>
    <hyperlink r:id="rId184" ref="BA182"/>
    <hyperlink r:id="rId185" ref="BA183"/>
    <hyperlink r:id="rId186" ref="BA184"/>
    <hyperlink r:id="rId187" ref="BA185"/>
    <hyperlink r:id="rId188" ref="BA186"/>
    <hyperlink r:id="rId189" ref="BA188"/>
    <hyperlink r:id="rId190" ref="BA189"/>
    <hyperlink r:id="rId191" ref="BA190"/>
    <hyperlink r:id="rId192" ref="BA191"/>
    <hyperlink r:id="rId193" ref="BA192"/>
    <hyperlink r:id="rId194" ref="BA193"/>
    <hyperlink r:id="rId195" ref="BA194"/>
    <hyperlink r:id="rId196" ref="BA195"/>
    <hyperlink r:id="rId197" ref="BA196"/>
    <hyperlink r:id="rId198" ref="BA197"/>
    <hyperlink r:id="rId199" ref="BA199"/>
    <hyperlink r:id="rId200" ref="BA200"/>
    <hyperlink r:id="rId201" ref="BA201"/>
    <hyperlink r:id="rId202" ref="BA202"/>
    <hyperlink r:id="rId203" ref="BA203"/>
    <hyperlink r:id="rId204" ref="BA204"/>
    <hyperlink r:id="rId205" ref="BA205"/>
    <hyperlink r:id="rId206" ref="BA206"/>
    <hyperlink r:id="rId207" ref="BA207"/>
    <hyperlink r:id="rId208" ref="BA208"/>
    <hyperlink r:id="rId209" ref="BA209"/>
    <hyperlink r:id="rId210" ref="BA210"/>
    <hyperlink r:id="rId211" ref="BA211"/>
    <hyperlink r:id="rId212" ref="BA213"/>
    <hyperlink r:id="rId213" ref="BA214"/>
    <hyperlink r:id="rId214" ref="BA215"/>
    <hyperlink r:id="rId215" ref="BA216"/>
    <hyperlink r:id="rId216" ref="BA217"/>
    <hyperlink r:id="rId217" ref="BA218"/>
    <hyperlink r:id="rId218" ref="BA219"/>
    <hyperlink r:id="rId219" ref="BA220"/>
    <hyperlink r:id="rId220" ref="BA222"/>
    <hyperlink r:id="rId221" ref="BA223"/>
    <hyperlink r:id="rId222" ref="BA224"/>
    <hyperlink r:id="rId223" ref="BA225"/>
    <hyperlink r:id="rId224" ref="BA226"/>
    <hyperlink r:id="rId225" ref="BA228"/>
    <hyperlink r:id="rId226" ref="BA230"/>
    <hyperlink r:id="rId227" ref="BA232"/>
    <hyperlink r:id="rId228" ref="BA233"/>
    <hyperlink r:id="rId229" ref="BA234"/>
    <hyperlink r:id="rId230" ref="BA235"/>
    <hyperlink r:id="rId231" ref="BA236"/>
    <hyperlink r:id="rId232" ref="BA238"/>
    <hyperlink r:id="rId233" ref="BA240"/>
    <hyperlink r:id="rId234" ref="BA241"/>
    <hyperlink r:id="rId235" ref="BA243"/>
    <hyperlink r:id="rId236" ref="BA244"/>
    <hyperlink r:id="rId237" ref="BA245"/>
    <hyperlink r:id="rId238" ref="BA246"/>
    <hyperlink r:id="rId239" ref="BA247"/>
    <hyperlink r:id="rId240" ref="BA248"/>
    <hyperlink r:id="rId241" ref="BA249"/>
    <hyperlink r:id="rId242" ref="BA250"/>
    <hyperlink r:id="rId243" ref="BA251"/>
    <hyperlink r:id="rId244" ref="BA252"/>
    <hyperlink r:id="rId245" ref="BA253"/>
    <hyperlink r:id="rId246" ref="BA254"/>
    <hyperlink r:id="rId247" ref="BA255"/>
    <hyperlink r:id="rId248" ref="BA256"/>
    <hyperlink r:id="rId249" ref="BA257"/>
    <hyperlink r:id="rId250" ref="BA259"/>
    <hyperlink r:id="rId251" ref="BA260"/>
    <hyperlink r:id="rId252" ref="BA261"/>
    <hyperlink r:id="rId253" ref="BA262"/>
    <hyperlink r:id="rId254" ref="BA263"/>
    <hyperlink r:id="rId255" ref="BA264"/>
    <hyperlink r:id="rId256" ref="BA266"/>
    <hyperlink r:id="rId257" ref="BA267"/>
    <hyperlink r:id="rId258" ref="BA268"/>
    <hyperlink r:id="rId259" ref="BA269"/>
    <hyperlink r:id="rId260" ref="BA270"/>
    <hyperlink r:id="rId261" ref="BA272"/>
    <hyperlink r:id="rId262" ref="BA273"/>
    <hyperlink r:id="rId263" ref="BA275"/>
    <hyperlink r:id="rId264" ref="BA277"/>
    <hyperlink r:id="rId265" ref="BA279"/>
    <hyperlink r:id="rId266" ref="BA280"/>
    <hyperlink r:id="rId267" ref="BA281"/>
    <hyperlink r:id="rId268" ref="BA282"/>
    <hyperlink r:id="rId269" ref="BA283"/>
    <hyperlink r:id="rId270" ref="BA284"/>
    <hyperlink r:id="rId271" ref="BA285"/>
    <hyperlink r:id="rId272" ref="BA286"/>
    <hyperlink r:id="rId273" ref="BA287"/>
    <hyperlink r:id="rId274" ref="BA288"/>
    <hyperlink r:id="rId275" ref="BA289"/>
    <hyperlink r:id="rId276" ref="BA290"/>
    <hyperlink r:id="rId277" ref="BA291"/>
    <hyperlink r:id="rId278" ref="BA292"/>
    <hyperlink r:id="rId279" ref="BA293"/>
    <hyperlink r:id="rId280" ref="BA296"/>
    <hyperlink r:id="rId281" ref="BA297"/>
    <hyperlink r:id="rId282" ref="BA300"/>
    <hyperlink r:id="rId283" ref="BA301"/>
    <hyperlink r:id="rId284" ref="BA302"/>
    <hyperlink r:id="rId285" ref="BA303"/>
    <hyperlink r:id="rId286" ref="BA304"/>
    <hyperlink r:id="rId287" ref="BA305"/>
    <hyperlink r:id="rId288" ref="BA306"/>
    <hyperlink r:id="rId289" ref="BA308"/>
    <hyperlink r:id="rId290" ref="BA309"/>
    <hyperlink r:id="rId291" ref="BA310"/>
    <hyperlink r:id="rId292" ref="BA311"/>
    <hyperlink r:id="rId293" ref="BA312"/>
    <hyperlink r:id="rId294" ref="BA313"/>
    <hyperlink r:id="rId295" ref="BA314"/>
    <hyperlink r:id="rId296" ref="BA315"/>
    <hyperlink r:id="rId297" ref="BA316"/>
    <hyperlink r:id="rId298" ref="S318"/>
    <hyperlink r:id="rId299" ref="BA319"/>
    <hyperlink r:id="rId300" ref="BA320"/>
    <hyperlink r:id="rId301" ref="BA326"/>
    <hyperlink r:id="rId302" ref="BA327"/>
    <hyperlink r:id="rId303" ref="BA329"/>
    <hyperlink r:id="rId304" ref="BA330"/>
    <hyperlink r:id="rId305" ref="BA331"/>
    <hyperlink r:id="rId306" ref="BA332"/>
    <hyperlink r:id="rId307" ref="BA333"/>
    <hyperlink r:id="rId308" ref="BA334"/>
    <hyperlink r:id="rId309" ref="S336"/>
    <hyperlink r:id="rId310" ref="BA337"/>
  </hyperlinks>
  <drawing r:id="rId31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74" t="s">
        <v>1</v>
      </c>
      <c r="B1" s="75" t="s">
        <v>3904</v>
      </c>
      <c r="C1" s="75" t="s">
        <v>3905</v>
      </c>
      <c r="D1" s="75" t="s">
        <v>3906</v>
      </c>
      <c r="E1" s="75" t="s">
        <v>3907</v>
      </c>
      <c r="F1" s="75" t="s">
        <v>3908</v>
      </c>
      <c r="G1" s="75" t="s">
        <v>30</v>
      </c>
      <c r="H1" s="75" t="s">
        <v>3909</v>
      </c>
      <c r="I1" s="76" t="s">
        <v>3910</v>
      </c>
      <c r="J1" s="75" t="s">
        <v>3911</v>
      </c>
      <c r="K1" s="75" t="s">
        <v>3912</v>
      </c>
      <c r="L1" s="75" t="s">
        <v>3913</v>
      </c>
      <c r="M1" s="75" t="s">
        <v>3914</v>
      </c>
    </row>
    <row r="2">
      <c r="A2" s="77">
        <v>1.0</v>
      </c>
      <c r="B2" s="78" t="s">
        <v>3915</v>
      </c>
      <c r="C2" s="79">
        <v>2.0251800008443E13</v>
      </c>
      <c r="D2" s="78" t="s">
        <v>3916</v>
      </c>
      <c r="E2" s="78" t="s">
        <v>401</v>
      </c>
      <c r="F2" s="80">
        <v>45691.0</v>
      </c>
      <c r="G2" s="78" t="s">
        <v>402</v>
      </c>
      <c r="H2" s="81" t="s">
        <v>3917</v>
      </c>
      <c r="I2" s="82">
        <v>1.090383442E9</v>
      </c>
      <c r="J2" s="83" t="s">
        <v>3918</v>
      </c>
      <c r="K2" s="81">
        <v>2.6010225E7</v>
      </c>
      <c r="L2" s="84">
        <v>45692.0</v>
      </c>
      <c r="M2" s="85">
        <v>2554067.0</v>
      </c>
    </row>
    <row r="3">
      <c r="A3" s="77">
        <v>2.0</v>
      </c>
      <c r="B3" s="78" t="s">
        <v>3915</v>
      </c>
      <c r="C3" s="79">
        <v>2.0251900008463E13</v>
      </c>
      <c r="D3" s="78" t="s">
        <v>3919</v>
      </c>
      <c r="E3" s="78" t="s">
        <v>218</v>
      </c>
      <c r="F3" s="80">
        <v>45691.0</v>
      </c>
      <c r="G3" s="78" t="s">
        <v>219</v>
      </c>
      <c r="H3" s="81" t="s">
        <v>3917</v>
      </c>
      <c r="I3" s="82">
        <v>1.130601351E9</v>
      </c>
      <c r="J3" s="83" t="s">
        <v>3920</v>
      </c>
      <c r="K3" s="81">
        <v>2.9033225E7</v>
      </c>
      <c r="L3" s="84">
        <v>45694.0</v>
      </c>
      <c r="M3" s="85">
        <v>4533333.0</v>
      </c>
    </row>
    <row r="4">
      <c r="A4" s="77">
        <v>3.0</v>
      </c>
      <c r="B4" s="78" t="s">
        <v>3915</v>
      </c>
      <c r="C4" s="79">
        <v>2.0251530008473E13</v>
      </c>
      <c r="D4" s="78" t="s">
        <v>3921</v>
      </c>
      <c r="E4" s="78" t="s">
        <v>347</v>
      </c>
      <c r="F4" s="80">
        <v>45691.0</v>
      </c>
      <c r="G4" s="78" t="s">
        <v>348</v>
      </c>
      <c r="H4" s="81" t="s">
        <v>3917</v>
      </c>
      <c r="I4" s="82">
        <v>1.09872233E9</v>
      </c>
      <c r="J4" s="83" t="s">
        <v>3922</v>
      </c>
      <c r="K4" s="81">
        <v>2.6011425E7</v>
      </c>
      <c r="L4" s="84">
        <v>45692.0</v>
      </c>
      <c r="M4" s="85">
        <v>3671033.0</v>
      </c>
    </row>
    <row r="5">
      <c r="A5" s="77">
        <v>4.0</v>
      </c>
      <c r="B5" s="78" t="s">
        <v>3915</v>
      </c>
      <c r="C5" s="79">
        <v>2.0251900008483E13</v>
      </c>
      <c r="D5" s="78" t="s">
        <v>3923</v>
      </c>
      <c r="E5" s="78" t="s">
        <v>429</v>
      </c>
      <c r="F5" s="80">
        <v>45691.0</v>
      </c>
      <c r="G5" s="78" t="s">
        <v>430</v>
      </c>
      <c r="H5" s="81" t="s">
        <v>3917</v>
      </c>
      <c r="I5" s="82">
        <v>1.065837239E9</v>
      </c>
      <c r="J5" s="83" t="s">
        <v>3924</v>
      </c>
      <c r="K5" s="81">
        <v>3.1478725E7</v>
      </c>
      <c r="L5" s="84">
        <v>45698.0</v>
      </c>
      <c r="M5" s="85">
        <v>2383333.0</v>
      </c>
    </row>
    <row r="6">
      <c r="A6" s="77">
        <v>5.0</v>
      </c>
      <c r="B6" s="78" t="s">
        <v>3915</v>
      </c>
      <c r="C6" s="79">
        <v>2.0251010008523E13</v>
      </c>
      <c r="D6" s="78" t="s">
        <v>3925</v>
      </c>
      <c r="E6" s="78" t="s">
        <v>206</v>
      </c>
      <c r="F6" s="80">
        <v>45691.0</v>
      </c>
      <c r="G6" s="78" t="s">
        <v>207</v>
      </c>
      <c r="H6" s="81" t="s">
        <v>3917</v>
      </c>
      <c r="I6" s="82">
        <v>1.030634246E9</v>
      </c>
      <c r="J6" s="83" t="s">
        <v>3926</v>
      </c>
      <c r="K6" s="81">
        <v>2.7654525E7</v>
      </c>
      <c r="L6" s="84">
        <v>45693.0</v>
      </c>
      <c r="M6" s="85">
        <v>6600000.0</v>
      </c>
    </row>
    <row r="7">
      <c r="A7" s="77">
        <v>6.0</v>
      </c>
      <c r="B7" s="78" t="s">
        <v>3915</v>
      </c>
      <c r="C7" s="79">
        <v>2.0251010008603E13</v>
      </c>
      <c r="D7" s="78" t="s">
        <v>3927</v>
      </c>
      <c r="E7" s="78" t="s">
        <v>423</v>
      </c>
      <c r="F7" s="80">
        <v>45691.0</v>
      </c>
      <c r="G7" s="78" t="s">
        <v>424</v>
      </c>
      <c r="H7" s="81" t="s">
        <v>3917</v>
      </c>
      <c r="I7" s="82">
        <v>1.020786621E9</v>
      </c>
      <c r="J7" s="83" t="s">
        <v>3928</v>
      </c>
      <c r="K7" s="81">
        <v>2.7652725E7</v>
      </c>
      <c r="L7" s="84">
        <v>45693.0</v>
      </c>
      <c r="M7" s="85">
        <v>2933333.0</v>
      </c>
    </row>
    <row r="8">
      <c r="A8" s="77">
        <v>7.0</v>
      </c>
      <c r="B8" s="78" t="s">
        <v>3915</v>
      </c>
      <c r="C8" s="79">
        <v>2.0251800008613E13</v>
      </c>
      <c r="D8" s="78" t="s">
        <v>3929</v>
      </c>
      <c r="E8" s="78" t="s">
        <v>224</v>
      </c>
      <c r="F8" s="80">
        <v>45691.0</v>
      </c>
      <c r="G8" s="78" t="s">
        <v>225</v>
      </c>
      <c r="H8" s="81" t="s">
        <v>3917</v>
      </c>
      <c r="I8" s="82">
        <v>1.073512831E9</v>
      </c>
      <c r="J8" s="83" t="s">
        <v>3930</v>
      </c>
      <c r="K8" s="81">
        <v>2.7665625E7</v>
      </c>
      <c r="L8" s="84">
        <v>45693.0</v>
      </c>
      <c r="M8" s="85">
        <v>5141400.0</v>
      </c>
    </row>
    <row r="9">
      <c r="A9" s="77">
        <v>8.0</v>
      </c>
      <c r="B9" s="78" t="s">
        <v>3915</v>
      </c>
      <c r="C9" s="79">
        <v>2.0251140008663E13</v>
      </c>
      <c r="D9" s="78" t="s">
        <v>3931</v>
      </c>
      <c r="E9" s="78" t="s">
        <v>63</v>
      </c>
      <c r="F9" s="80">
        <v>45691.0</v>
      </c>
      <c r="G9" s="78" t="s">
        <v>64</v>
      </c>
      <c r="H9" s="81" t="s">
        <v>3917</v>
      </c>
      <c r="I9" s="82">
        <v>1.019094411E9</v>
      </c>
      <c r="J9" s="83" t="s">
        <v>3932</v>
      </c>
      <c r="K9" s="81">
        <v>2.9028025E7</v>
      </c>
      <c r="L9" s="84">
        <v>45694.0</v>
      </c>
      <c r="M9" s="85">
        <v>4400000.0</v>
      </c>
    </row>
    <row r="10">
      <c r="A10" s="77">
        <v>9.0</v>
      </c>
      <c r="B10" s="78" t="s">
        <v>3915</v>
      </c>
      <c r="C10" s="79">
        <v>2.0251400008733E13</v>
      </c>
      <c r="D10" s="78" t="s">
        <v>3933</v>
      </c>
      <c r="E10" s="78" t="s">
        <v>107</v>
      </c>
      <c r="F10" s="80">
        <v>45692.0</v>
      </c>
      <c r="G10" s="78" t="s">
        <v>108</v>
      </c>
      <c r="H10" s="81" t="s">
        <v>3917</v>
      </c>
      <c r="I10" s="82">
        <v>1.032409297E9</v>
      </c>
      <c r="J10" s="83" t="s">
        <v>3934</v>
      </c>
      <c r="K10" s="81">
        <v>2.7655525E7</v>
      </c>
      <c r="L10" s="84">
        <v>45693.0</v>
      </c>
      <c r="M10" s="85">
        <v>6300000.0</v>
      </c>
    </row>
    <row r="11">
      <c r="A11" s="77">
        <v>10.0</v>
      </c>
      <c r="B11" s="78" t="s">
        <v>3915</v>
      </c>
      <c r="C11" s="79">
        <v>2.0251020008543E13</v>
      </c>
      <c r="D11" s="78" t="s">
        <v>3935</v>
      </c>
      <c r="E11" s="78" t="s">
        <v>358</v>
      </c>
      <c r="F11" s="80">
        <v>45692.0</v>
      </c>
      <c r="G11" s="78" t="s">
        <v>359</v>
      </c>
      <c r="H11" s="81" t="s">
        <v>3917</v>
      </c>
      <c r="I11" s="82">
        <v>1.098310315E9</v>
      </c>
      <c r="J11" s="83" t="s">
        <v>3936</v>
      </c>
      <c r="K11" s="81">
        <v>2.6010725E7</v>
      </c>
      <c r="L11" s="84">
        <v>45692.0</v>
      </c>
      <c r="M11" s="85">
        <v>4137000.0</v>
      </c>
    </row>
    <row r="12">
      <c r="A12" s="77">
        <v>11.0</v>
      </c>
      <c r="B12" s="78" t="s">
        <v>3915</v>
      </c>
      <c r="C12" s="79">
        <v>2.0251020008633E13</v>
      </c>
      <c r="D12" s="78" t="s">
        <v>3937</v>
      </c>
      <c r="E12" s="78" t="s">
        <v>253</v>
      </c>
      <c r="F12" s="80">
        <v>45692.0</v>
      </c>
      <c r="G12" s="78" t="s">
        <v>254</v>
      </c>
      <c r="H12" s="81" t="s">
        <v>3917</v>
      </c>
      <c r="I12" s="82">
        <v>1.018492802E9</v>
      </c>
      <c r="J12" s="83" t="s">
        <v>3938</v>
      </c>
      <c r="K12" s="81">
        <v>2.6010925E7</v>
      </c>
      <c r="L12" s="84">
        <v>45692.0</v>
      </c>
      <c r="M12" s="85">
        <v>5431783.0</v>
      </c>
    </row>
    <row r="13">
      <c r="A13" s="77">
        <v>12.0</v>
      </c>
      <c r="B13" s="78" t="s">
        <v>3915</v>
      </c>
      <c r="C13" s="79">
        <v>2.0251120008643E13</v>
      </c>
      <c r="D13" s="78" t="s">
        <v>3939</v>
      </c>
      <c r="E13" s="78" t="s">
        <v>231</v>
      </c>
      <c r="F13" s="80">
        <v>45692.0</v>
      </c>
      <c r="G13" s="78" t="s">
        <v>232</v>
      </c>
      <c r="H13" s="81" t="s">
        <v>3917</v>
      </c>
      <c r="I13" s="82">
        <v>5.246763E7</v>
      </c>
      <c r="J13" s="83" t="s">
        <v>3940</v>
      </c>
      <c r="K13" s="81">
        <v>3.2757025E7</v>
      </c>
      <c r="L13" s="84">
        <v>45699.0</v>
      </c>
      <c r="M13" s="85">
        <v>4420080.0</v>
      </c>
    </row>
    <row r="14">
      <c r="A14" s="77">
        <v>13.0</v>
      </c>
      <c r="B14" s="78" t="s">
        <v>3915</v>
      </c>
      <c r="C14" s="79">
        <v>2.0251400008743E13</v>
      </c>
      <c r="D14" s="78" t="s">
        <v>3941</v>
      </c>
      <c r="E14" s="78" t="s">
        <v>299</v>
      </c>
      <c r="F14" s="80">
        <v>45692.0</v>
      </c>
      <c r="G14" s="78" t="s">
        <v>300</v>
      </c>
      <c r="H14" s="81" t="s">
        <v>3917</v>
      </c>
      <c r="I14" s="82">
        <v>1.052408723E9</v>
      </c>
      <c r="J14" s="83" t="s">
        <v>3942</v>
      </c>
      <c r="K14" s="81">
        <v>2.6011725E7</v>
      </c>
      <c r="L14" s="84">
        <v>45692.0</v>
      </c>
      <c r="M14" s="85">
        <v>2023000.0</v>
      </c>
    </row>
    <row r="15">
      <c r="A15" s="77">
        <v>14.0</v>
      </c>
      <c r="B15" s="78" t="s">
        <v>3915</v>
      </c>
      <c r="C15" s="79">
        <v>2.0251400008753E13</v>
      </c>
      <c r="D15" s="78" t="s">
        <v>3943</v>
      </c>
      <c r="E15" s="78" t="s">
        <v>276</v>
      </c>
      <c r="F15" s="80">
        <v>45692.0</v>
      </c>
      <c r="G15" s="78" t="s">
        <v>277</v>
      </c>
      <c r="H15" s="81" t="s">
        <v>3944</v>
      </c>
      <c r="I15" s="82">
        <v>367422.0</v>
      </c>
      <c r="J15" s="83" t="s">
        <v>3945</v>
      </c>
      <c r="K15" s="81">
        <v>2.7648425E7</v>
      </c>
      <c r="L15" s="84">
        <v>45693.0</v>
      </c>
      <c r="M15" s="85">
        <v>3769473.0</v>
      </c>
    </row>
    <row r="16">
      <c r="A16" s="77">
        <v>15.0</v>
      </c>
      <c r="B16" s="78" t="s">
        <v>3915</v>
      </c>
      <c r="C16" s="79">
        <v>2.0251520008813E13</v>
      </c>
      <c r="D16" s="78" t="s">
        <v>3946</v>
      </c>
      <c r="E16" s="78" t="s">
        <v>416</v>
      </c>
      <c r="F16" s="80">
        <v>45692.0</v>
      </c>
      <c r="G16" s="78" t="s">
        <v>417</v>
      </c>
      <c r="H16" s="81" t="s">
        <v>3917</v>
      </c>
      <c r="I16" s="82">
        <v>1.05382899E9</v>
      </c>
      <c r="J16" s="83" t="s">
        <v>3947</v>
      </c>
      <c r="K16" s="81">
        <v>2.7661825E7</v>
      </c>
      <c r="L16" s="84">
        <v>45693.0</v>
      </c>
      <c r="M16" s="85">
        <v>4181485.0</v>
      </c>
    </row>
    <row r="17">
      <c r="A17" s="77">
        <v>16.0</v>
      </c>
      <c r="B17" s="78" t="s">
        <v>3915</v>
      </c>
      <c r="C17" s="79">
        <v>2.0251020008833E13</v>
      </c>
      <c r="D17" s="78" t="s">
        <v>3948</v>
      </c>
      <c r="E17" s="78" t="s">
        <v>380</v>
      </c>
      <c r="F17" s="80">
        <v>45692.0</v>
      </c>
      <c r="G17" s="78" t="s">
        <v>381</v>
      </c>
      <c r="H17" s="81" t="s">
        <v>3917</v>
      </c>
      <c r="I17" s="82">
        <v>1.016081819E9</v>
      </c>
      <c r="J17" s="83" t="s">
        <v>3949</v>
      </c>
      <c r="K17" s="81">
        <v>2.7657025E7</v>
      </c>
      <c r="L17" s="84">
        <v>45693.0</v>
      </c>
      <c r="M17" s="85">
        <v>3819970.0</v>
      </c>
    </row>
    <row r="18">
      <c r="A18" s="77">
        <v>17.0</v>
      </c>
      <c r="B18" s="78" t="s">
        <v>3915</v>
      </c>
      <c r="C18" s="79">
        <v>2.0251800008883E13</v>
      </c>
      <c r="D18" s="78" t="s">
        <v>3950</v>
      </c>
      <c r="E18" s="78" t="s">
        <v>476</v>
      </c>
      <c r="F18" s="80">
        <v>45692.0</v>
      </c>
      <c r="G18" s="78" t="s">
        <v>477</v>
      </c>
      <c r="H18" s="81" t="s">
        <v>3917</v>
      </c>
      <c r="I18" s="82">
        <v>9528037.0</v>
      </c>
      <c r="J18" s="83" t="s">
        <v>3951</v>
      </c>
      <c r="K18" s="81">
        <v>3.1481025E7</v>
      </c>
      <c r="L18" s="84">
        <v>45698.0</v>
      </c>
      <c r="M18" s="85">
        <v>2572533.0</v>
      </c>
    </row>
    <row r="19">
      <c r="A19" s="77">
        <v>18.0</v>
      </c>
      <c r="B19" s="78" t="s">
        <v>3915</v>
      </c>
      <c r="C19" s="79">
        <v>2.0251010008903E13</v>
      </c>
      <c r="D19" s="78" t="s">
        <v>3952</v>
      </c>
      <c r="E19" s="78" t="s">
        <v>2879</v>
      </c>
      <c r="F19" s="80">
        <v>45692.0</v>
      </c>
      <c r="G19" s="78" t="s">
        <v>682</v>
      </c>
      <c r="H19" s="81" t="s">
        <v>3917</v>
      </c>
      <c r="I19" s="82">
        <v>5.3134639E7</v>
      </c>
      <c r="J19" s="83" t="s">
        <v>3953</v>
      </c>
      <c r="K19" s="81">
        <v>2.7663325E7</v>
      </c>
      <c r="L19" s="84">
        <v>45693.0</v>
      </c>
      <c r="M19" s="85">
        <v>900000.0</v>
      </c>
    </row>
    <row r="20">
      <c r="A20" s="77">
        <v>19.0</v>
      </c>
      <c r="B20" s="78" t="s">
        <v>3915</v>
      </c>
      <c r="C20" s="79">
        <v>2.0251010008913E13</v>
      </c>
      <c r="D20" s="78" t="s">
        <v>3954</v>
      </c>
      <c r="E20" s="78" t="s">
        <v>582</v>
      </c>
      <c r="F20" s="80">
        <v>45692.0</v>
      </c>
      <c r="G20" s="78" t="s">
        <v>691</v>
      </c>
      <c r="H20" s="81" t="s">
        <v>3917</v>
      </c>
      <c r="I20" s="82">
        <v>1.13065411E9</v>
      </c>
      <c r="J20" s="83" t="s">
        <v>3955</v>
      </c>
      <c r="K20" s="81">
        <v>2.7669925E7</v>
      </c>
      <c r="L20" s="84">
        <v>45693.0</v>
      </c>
      <c r="M20" s="85">
        <v>600000.0</v>
      </c>
    </row>
    <row r="21">
      <c r="A21" s="77">
        <v>20.0</v>
      </c>
      <c r="B21" s="78" t="s">
        <v>3915</v>
      </c>
      <c r="C21" s="79">
        <v>2.0251010008923E13</v>
      </c>
      <c r="D21" s="78" t="s">
        <v>3956</v>
      </c>
      <c r="E21" s="78" t="s">
        <v>123</v>
      </c>
      <c r="F21" s="80">
        <v>45692.0</v>
      </c>
      <c r="G21" s="78" t="s">
        <v>124</v>
      </c>
      <c r="H21" s="81" t="s">
        <v>3917</v>
      </c>
      <c r="I21" s="82">
        <v>1.013653433E9</v>
      </c>
      <c r="J21" s="83" t="s">
        <v>3957</v>
      </c>
      <c r="K21" s="81">
        <v>3.2757125E7</v>
      </c>
      <c r="L21" s="84">
        <v>45699.0</v>
      </c>
      <c r="M21" s="85">
        <v>6966667.0</v>
      </c>
    </row>
    <row r="22">
      <c r="A22" s="77">
        <v>21.0</v>
      </c>
      <c r="B22" s="78" t="s">
        <v>3915</v>
      </c>
      <c r="C22" s="79">
        <v>2.0251000008933E13</v>
      </c>
      <c r="D22" s="78" t="s">
        <v>3958</v>
      </c>
      <c r="E22" s="78" t="s">
        <v>480</v>
      </c>
      <c r="F22" s="80">
        <v>45692.0</v>
      </c>
      <c r="G22" s="78" t="s">
        <v>1647</v>
      </c>
      <c r="H22" s="81" t="s">
        <v>3917</v>
      </c>
      <c r="I22" s="82">
        <v>5.2811892E7</v>
      </c>
      <c r="J22" s="83" t="s">
        <v>3959</v>
      </c>
      <c r="K22" s="81">
        <v>2.7657825E7</v>
      </c>
      <c r="L22" s="84">
        <v>45693.0</v>
      </c>
      <c r="M22" s="85">
        <v>3116667.0</v>
      </c>
    </row>
    <row r="23">
      <c r="A23" s="77">
        <v>22.0</v>
      </c>
      <c r="B23" s="78" t="s">
        <v>3915</v>
      </c>
      <c r="C23" s="79">
        <v>2.0251800008953E13</v>
      </c>
      <c r="D23" s="78" t="s">
        <v>3960</v>
      </c>
      <c r="E23" s="78" t="s">
        <v>448</v>
      </c>
      <c r="F23" s="80">
        <v>45692.0</v>
      </c>
      <c r="G23" s="78" t="s">
        <v>1629</v>
      </c>
      <c r="H23" s="81" t="s">
        <v>3917</v>
      </c>
      <c r="I23" s="82">
        <v>4.209482E7</v>
      </c>
      <c r="J23" s="83" t="s">
        <v>3961</v>
      </c>
      <c r="K23" s="81">
        <v>2.7665425E7</v>
      </c>
      <c r="L23" s="84">
        <v>45693.0</v>
      </c>
      <c r="M23" s="85">
        <v>2285067.0</v>
      </c>
    </row>
    <row r="24">
      <c r="A24" s="77">
        <v>23.0</v>
      </c>
      <c r="B24" s="78" t="s">
        <v>3915</v>
      </c>
      <c r="C24" s="79">
        <v>2.0251110008963E13</v>
      </c>
      <c r="D24" s="78" t="s">
        <v>3962</v>
      </c>
      <c r="E24" s="78" t="s">
        <v>141</v>
      </c>
      <c r="F24" s="80">
        <v>45692.0</v>
      </c>
      <c r="G24" s="78" t="s">
        <v>142</v>
      </c>
      <c r="H24" s="81" t="s">
        <v>3917</v>
      </c>
      <c r="I24" s="82">
        <v>5.2215231E7</v>
      </c>
      <c r="J24" s="83" t="s">
        <v>3963</v>
      </c>
      <c r="K24" s="81">
        <v>2.9024725E7</v>
      </c>
      <c r="L24" s="84">
        <v>45694.0</v>
      </c>
      <c r="M24" s="85">
        <v>4214277.0</v>
      </c>
    </row>
    <row r="25">
      <c r="A25" s="77">
        <v>24.0</v>
      </c>
      <c r="B25" s="78" t="s">
        <v>3915</v>
      </c>
      <c r="C25" s="79">
        <v>2.0251120009013E13</v>
      </c>
      <c r="D25" s="78" t="s">
        <v>3964</v>
      </c>
      <c r="E25" s="78" t="s">
        <v>525</v>
      </c>
      <c r="F25" s="80">
        <v>45692.0</v>
      </c>
      <c r="G25" s="78" t="s">
        <v>526</v>
      </c>
      <c r="H25" s="81" t="s">
        <v>3917</v>
      </c>
      <c r="I25" s="82">
        <v>7687651.0</v>
      </c>
      <c r="J25" s="83" t="s">
        <v>3965</v>
      </c>
      <c r="K25" s="81">
        <v>2.7668125E7</v>
      </c>
      <c r="L25" s="84">
        <v>45693.0</v>
      </c>
      <c r="M25" s="85">
        <v>1964480.0</v>
      </c>
    </row>
    <row r="26">
      <c r="A26" s="77">
        <v>25.0</v>
      </c>
      <c r="B26" s="78" t="s">
        <v>3915</v>
      </c>
      <c r="C26" s="79">
        <v>2.0251120009023E13</v>
      </c>
      <c r="D26" s="78" t="s">
        <v>3966</v>
      </c>
      <c r="E26" s="78" t="s">
        <v>2812</v>
      </c>
      <c r="F26" s="80">
        <v>45692.0</v>
      </c>
      <c r="G26" s="78" t="s">
        <v>635</v>
      </c>
      <c r="H26" s="81" t="s">
        <v>3917</v>
      </c>
      <c r="I26" s="82">
        <v>1.054679552E9</v>
      </c>
      <c r="J26" s="83" t="s">
        <v>3967</v>
      </c>
      <c r="K26" s="81">
        <v>3.2757225E7</v>
      </c>
      <c r="L26" s="84">
        <v>45699.0</v>
      </c>
      <c r="M26" s="85">
        <v>982240.0</v>
      </c>
    </row>
    <row r="27">
      <c r="A27" s="77">
        <v>26.0</v>
      </c>
      <c r="B27" s="78" t="s">
        <v>3915</v>
      </c>
      <c r="C27" s="79">
        <v>2.0251110009033E13</v>
      </c>
      <c r="D27" s="78" t="s">
        <v>3968</v>
      </c>
      <c r="E27" s="78" t="s">
        <v>515</v>
      </c>
      <c r="F27" s="80">
        <v>45692.0</v>
      </c>
      <c r="G27" s="78" t="s">
        <v>516</v>
      </c>
      <c r="H27" s="81" t="s">
        <v>3917</v>
      </c>
      <c r="I27" s="82">
        <v>5.2045839E7</v>
      </c>
      <c r="J27" s="83" t="s">
        <v>3969</v>
      </c>
      <c r="K27" s="81">
        <v>2.9098925E7</v>
      </c>
      <c r="L27" s="84">
        <v>45694.0</v>
      </c>
      <c r="M27" s="85">
        <v>2138091.0</v>
      </c>
    </row>
    <row r="28">
      <c r="A28" s="77">
        <v>27.0</v>
      </c>
      <c r="B28" s="78" t="s">
        <v>3915</v>
      </c>
      <c r="C28" s="79">
        <v>2.0251800009043E13</v>
      </c>
      <c r="D28" s="78" t="s">
        <v>3970</v>
      </c>
      <c r="E28" s="78" t="s">
        <v>464</v>
      </c>
      <c r="F28" s="80">
        <v>45692.0</v>
      </c>
      <c r="G28" s="78" t="s">
        <v>465</v>
      </c>
      <c r="H28" s="81" t="s">
        <v>3917</v>
      </c>
      <c r="I28" s="82">
        <v>1.015445697E9</v>
      </c>
      <c r="J28" s="83" t="s">
        <v>3971</v>
      </c>
      <c r="K28" s="81">
        <v>3.1482025E7</v>
      </c>
      <c r="L28" s="84">
        <v>45698.0</v>
      </c>
      <c r="M28" s="85">
        <v>2174333.0</v>
      </c>
    </row>
    <row r="29">
      <c r="A29" s="77">
        <v>28.0</v>
      </c>
      <c r="B29" s="78" t="s">
        <v>3915</v>
      </c>
      <c r="C29" s="79">
        <v>2.0251010009063E13</v>
      </c>
      <c r="D29" s="78" t="s">
        <v>3972</v>
      </c>
      <c r="E29" s="78" t="s">
        <v>199</v>
      </c>
      <c r="F29" s="80">
        <v>45692.0</v>
      </c>
      <c r="G29" s="78" t="s">
        <v>200</v>
      </c>
      <c r="H29" s="81" t="s">
        <v>3917</v>
      </c>
      <c r="I29" s="82">
        <v>1.013617963E9</v>
      </c>
      <c r="J29" s="83" t="s">
        <v>3973</v>
      </c>
      <c r="K29" s="81">
        <v>3.1482425E7</v>
      </c>
      <c r="L29" s="84">
        <v>45698.0</v>
      </c>
      <c r="M29" s="85">
        <v>7000000.0</v>
      </c>
    </row>
    <row r="30">
      <c r="A30" s="77">
        <v>29.0</v>
      </c>
      <c r="B30" s="78" t="s">
        <v>3915</v>
      </c>
      <c r="C30" s="79">
        <v>2.0251400009153E13</v>
      </c>
      <c r="D30" s="78" t="s">
        <v>3974</v>
      </c>
      <c r="E30" s="78" t="s">
        <v>2888</v>
      </c>
      <c r="F30" s="80">
        <v>45692.0</v>
      </c>
      <c r="G30" s="78" t="s">
        <v>687</v>
      </c>
      <c r="H30" s="81" t="s">
        <v>3917</v>
      </c>
      <c r="I30" s="82">
        <v>1.069759231E9</v>
      </c>
      <c r="J30" s="83" t="s">
        <v>3975</v>
      </c>
      <c r="K30" s="81">
        <v>3.0136125E7</v>
      </c>
      <c r="L30" s="84">
        <v>45695.0</v>
      </c>
      <c r="M30" s="85">
        <v>529480.0</v>
      </c>
    </row>
    <row r="31">
      <c r="A31" s="77">
        <v>30.0</v>
      </c>
      <c r="B31" s="78" t="s">
        <v>3915</v>
      </c>
      <c r="C31" s="79">
        <v>2.0251110009163E13</v>
      </c>
      <c r="D31" s="78" t="s">
        <v>3976</v>
      </c>
      <c r="E31" s="78" t="s">
        <v>363</v>
      </c>
      <c r="F31" s="80">
        <v>45692.0</v>
      </c>
      <c r="G31" s="78" t="s">
        <v>364</v>
      </c>
      <c r="H31" s="81" t="s">
        <v>3917</v>
      </c>
      <c r="I31" s="82">
        <v>5.1568567E7</v>
      </c>
      <c r="J31" s="83" t="s">
        <v>3977</v>
      </c>
      <c r="K31" s="81">
        <v>3.1479425E7</v>
      </c>
      <c r="L31" s="84">
        <v>45698.0</v>
      </c>
      <c r="M31" s="85">
        <v>3363380.0</v>
      </c>
    </row>
    <row r="32">
      <c r="A32" s="77">
        <v>31.0</v>
      </c>
      <c r="B32" s="78" t="s">
        <v>3915</v>
      </c>
      <c r="C32" s="79">
        <v>2.0251400009193E13</v>
      </c>
      <c r="D32" s="78" t="s">
        <v>3978</v>
      </c>
      <c r="E32" s="78" t="s">
        <v>2854</v>
      </c>
      <c r="F32" s="80">
        <v>45692.0</v>
      </c>
      <c r="G32" s="78" t="s">
        <v>663</v>
      </c>
      <c r="H32" s="81" t="s">
        <v>3917</v>
      </c>
      <c r="I32" s="82">
        <v>1.019065789E9</v>
      </c>
      <c r="J32" s="83" t="s">
        <v>3979</v>
      </c>
      <c r="K32" s="81">
        <v>3.0143225E7</v>
      </c>
      <c r="L32" s="84">
        <v>45695.0</v>
      </c>
      <c r="M32" s="85">
        <v>471184.0</v>
      </c>
    </row>
    <row r="33">
      <c r="A33" s="77">
        <v>32.0</v>
      </c>
      <c r="B33" s="78" t="s">
        <v>3915</v>
      </c>
      <c r="C33" s="79">
        <v>2.0251400009143E13</v>
      </c>
      <c r="D33" s="78" t="s">
        <v>3980</v>
      </c>
      <c r="E33" s="78" t="s">
        <v>155</v>
      </c>
      <c r="F33" s="80">
        <v>45692.0</v>
      </c>
      <c r="G33" s="78" t="s">
        <v>156</v>
      </c>
      <c r="H33" s="81" t="s">
        <v>3917</v>
      </c>
      <c r="I33" s="82">
        <v>8.0076408E7</v>
      </c>
      <c r="J33" s="83" t="s">
        <v>3981</v>
      </c>
      <c r="K33" s="81">
        <v>2.7659925E7</v>
      </c>
      <c r="L33" s="84">
        <v>45693.0</v>
      </c>
      <c r="M33" s="85">
        <v>7800000.0</v>
      </c>
    </row>
    <row r="34">
      <c r="A34" s="77">
        <v>33.0</v>
      </c>
      <c r="B34" s="78" t="s">
        <v>3915</v>
      </c>
      <c r="C34" s="79">
        <v>2.0251100009253E13</v>
      </c>
      <c r="D34" s="78" t="s">
        <v>3982</v>
      </c>
      <c r="E34" s="78" t="s">
        <v>43</v>
      </c>
      <c r="F34" s="80">
        <v>45692.0</v>
      </c>
      <c r="G34" s="78" t="s">
        <v>44</v>
      </c>
      <c r="H34" s="81" t="s">
        <v>3917</v>
      </c>
      <c r="I34" s="82">
        <v>3.7279138E7</v>
      </c>
      <c r="J34" s="83" t="s">
        <v>3983</v>
      </c>
      <c r="K34" s="81">
        <v>2.8975525E7</v>
      </c>
      <c r="L34" s="84">
        <v>45694.0</v>
      </c>
      <c r="M34" s="85">
        <v>8433333.0</v>
      </c>
    </row>
    <row r="35">
      <c r="A35" s="77">
        <v>34.0</v>
      </c>
      <c r="B35" s="78" t="s">
        <v>3915</v>
      </c>
      <c r="C35" s="79">
        <v>2.0251300009263E13</v>
      </c>
      <c r="D35" s="78" t="s">
        <v>3984</v>
      </c>
      <c r="E35" s="78" t="s">
        <v>333</v>
      </c>
      <c r="F35" s="80">
        <v>45692.0</v>
      </c>
      <c r="G35" s="78" t="s">
        <v>334</v>
      </c>
      <c r="H35" s="81" t="s">
        <v>3917</v>
      </c>
      <c r="I35" s="82">
        <v>8.0027001E7</v>
      </c>
      <c r="J35" s="83" t="s">
        <v>3985</v>
      </c>
      <c r="K35" s="81">
        <v>3.0245325E7</v>
      </c>
      <c r="L35" s="84">
        <v>45695.0</v>
      </c>
      <c r="M35" s="85">
        <v>2566667.0</v>
      </c>
    </row>
    <row r="36">
      <c r="A36" s="77">
        <v>35.0</v>
      </c>
      <c r="B36" s="78" t="s">
        <v>3915</v>
      </c>
      <c r="C36" s="79">
        <v>2.0251130009113E13</v>
      </c>
      <c r="D36" s="78" t="s">
        <v>3986</v>
      </c>
      <c r="E36" s="78" t="s">
        <v>303</v>
      </c>
      <c r="F36" s="80">
        <v>45692.0</v>
      </c>
      <c r="G36" s="78" t="s">
        <v>304</v>
      </c>
      <c r="H36" s="81" t="s">
        <v>3917</v>
      </c>
      <c r="I36" s="82">
        <v>5.2713391E7</v>
      </c>
      <c r="J36" s="83" t="s">
        <v>3987</v>
      </c>
      <c r="K36" s="81">
        <v>2.8982425E7</v>
      </c>
      <c r="L36" s="84">
        <v>45694.0</v>
      </c>
      <c r="M36" s="85">
        <v>4463840.0</v>
      </c>
    </row>
    <row r="37">
      <c r="A37" s="77">
        <v>36.0</v>
      </c>
      <c r="B37" s="78" t="s">
        <v>3915</v>
      </c>
      <c r="C37" s="79">
        <v>2.0251800009243E13</v>
      </c>
      <c r="D37" s="78" t="s">
        <v>3988</v>
      </c>
      <c r="E37" s="78" t="s">
        <v>454</v>
      </c>
      <c r="F37" s="80">
        <v>45692.0</v>
      </c>
      <c r="G37" s="78" t="s">
        <v>1633</v>
      </c>
      <c r="H37" s="81" t="s">
        <v>3917</v>
      </c>
      <c r="I37" s="82">
        <v>1.05377392E9</v>
      </c>
      <c r="J37" s="83" t="s">
        <v>3989</v>
      </c>
      <c r="K37" s="81">
        <v>2.8981025E7</v>
      </c>
      <c r="L37" s="84">
        <v>45694.0</v>
      </c>
      <c r="M37" s="85">
        <v>2174333.0</v>
      </c>
    </row>
    <row r="38">
      <c r="A38" s="77">
        <v>37.0</v>
      </c>
      <c r="B38" s="78" t="s">
        <v>3915</v>
      </c>
      <c r="C38" s="79">
        <v>2.0251800009283E13</v>
      </c>
      <c r="D38" s="78" t="s">
        <v>3990</v>
      </c>
      <c r="E38" s="78" t="s">
        <v>2755</v>
      </c>
      <c r="F38" s="80">
        <v>45692.0</v>
      </c>
      <c r="G38" s="78" t="s">
        <v>599</v>
      </c>
      <c r="H38" s="81" t="s">
        <v>3917</v>
      </c>
      <c r="I38" s="82">
        <v>8.005725E7</v>
      </c>
      <c r="J38" s="83" t="s">
        <v>3991</v>
      </c>
      <c r="K38" s="81">
        <v>2.7659025E7</v>
      </c>
      <c r="L38" s="84">
        <v>45693.0</v>
      </c>
      <c r="M38" s="85">
        <v>790667.0</v>
      </c>
    </row>
    <row r="39">
      <c r="A39" s="77">
        <v>38.0</v>
      </c>
      <c r="B39" s="78" t="s">
        <v>3915</v>
      </c>
      <c r="C39" s="79">
        <v>2.0251100009393E13</v>
      </c>
      <c r="D39" s="78" t="s">
        <v>3992</v>
      </c>
      <c r="E39" s="78" t="s">
        <v>280</v>
      </c>
      <c r="F39" s="80">
        <v>45693.0</v>
      </c>
      <c r="G39" s="78" t="s">
        <v>281</v>
      </c>
      <c r="H39" s="81" t="s">
        <v>3917</v>
      </c>
      <c r="I39" s="82">
        <v>202634.0</v>
      </c>
      <c r="J39" s="83" t="s">
        <v>3993</v>
      </c>
      <c r="K39" s="81">
        <v>2.9031725E7</v>
      </c>
      <c r="L39" s="84">
        <v>45694.0</v>
      </c>
      <c r="M39" s="85">
        <v>3733333.0</v>
      </c>
    </row>
    <row r="40">
      <c r="A40" s="77">
        <v>39.0</v>
      </c>
      <c r="B40" s="78" t="s">
        <v>3915</v>
      </c>
      <c r="C40" s="79">
        <v>2.0251510009443E13</v>
      </c>
      <c r="D40" s="78" t="s">
        <v>3994</v>
      </c>
      <c r="E40" s="78" t="s">
        <v>547</v>
      </c>
      <c r="F40" s="80">
        <v>45693.0</v>
      </c>
      <c r="G40" s="78" t="s">
        <v>548</v>
      </c>
      <c r="H40" s="81" t="s">
        <v>3917</v>
      </c>
      <c r="I40" s="82">
        <v>2.6203478E7</v>
      </c>
      <c r="J40" s="83" t="s">
        <v>3995</v>
      </c>
      <c r="K40" s="81">
        <v>3.1480025E7</v>
      </c>
      <c r="L40" s="84">
        <v>45698.0</v>
      </c>
      <c r="M40" s="85">
        <v>4000000.0</v>
      </c>
    </row>
    <row r="41">
      <c r="A41" s="77">
        <v>40.0</v>
      </c>
      <c r="B41" s="78" t="s">
        <v>3915</v>
      </c>
      <c r="C41" s="79">
        <v>2.0251300009463E13</v>
      </c>
      <c r="D41" s="78" t="s">
        <v>3996</v>
      </c>
      <c r="E41" s="78" t="s">
        <v>443</v>
      </c>
      <c r="F41" s="80">
        <v>45693.0</v>
      </c>
      <c r="G41" s="78" t="s">
        <v>444</v>
      </c>
      <c r="H41" s="81" t="s">
        <v>3917</v>
      </c>
      <c r="I41" s="82">
        <v>1.2129602E7</v>
      </c>
      <c r="J41" s="83" t="s">
        <v>3997</v>
      </c>
      <c r="K41" s="81">
        <v>2.9097025E7</v>
      </c>
      <c r="L41" s="84">
        <v>45694.0</v>
      </c>
      <c r="M41" s="85">
        <v>3877500.0</v>
      </c>
    </row>
    <row r="42">
      <c r="A42" s="77">
        <v>41.0</v>
      </c>
      <c r="B42" s="78" t="s">
        <v>3915</v>
      </c>
      <c r="C42" s="79">
        <v>2.0251000009453E13</v>
      </c>
      <c r="D42" s="78" t="s">
        <v>3998</v>
      </c>
      <c r="E42" s="78" t="s">
        <v>3999</v>
      </c>
      <c r="F42" s="80">
        <v>45693.0</v>
      </c>
      <c r="G42" s="78" t="s">
        <v>470</v>
      </c>
      <c r="H42" s="81" t="s">
        <v>3917</v>
      </c>
      <c r="I42" s="82">
        <v>3.9683177E7</v>
      </c>
      <c r="J42" s="83" t="s">
        <v>4000</v>
      </c>
      <c r="K42" s="81">
        <v>3.1467025E7</v>
      </c>
      <c r="L42" s="84">
        <v>45698.0</v>
      </c>
      <c r="M42" s="85">
        <v>3116667.0</v>
      </c>
    </row>
    <row r="43">
      <c r="A43" s="77">
        <v>42.0</v>
      </c>
      <c r="B43" s="78" t="s">
        <v>3915</v>
      </c>
      <c r="C43" s="79">
        <v>2.0251300009473E13</v>
      </c>
      <c r="D43" s="78" t="s">
        <v>4001</v>
      </c>
      <c r="E43" s="78" t="s">
        <v>505</v>
      </c>
      <c r="F43" s="80">
        <v>45693.0</v>
      </c>
      <c r="G43" s="78" t="s">
        <v>506</v>
      </c>
      <c r="H43" s="81" t="s">
        <v>3917</v>
      </c>
      <c r="I43" s="82">
        <v>7183875.0</v>
      </c>
      <c r="J43" s="83" t="s">
        <v>4002</v>
      </c>
      <c r="K43" s="81">
        <v>2.9098125E7</v>
      </c>
      <c r="L43" s="84">
        <v>45694.0</v>
      </c>
      <c r="M43" s="85">
        <v>2500000.0</v>
      </c>
    </row>
    <row r="44">
      <c r="A44" s="77">
        <v>43.0</v>
      </c>
      <c r="B44" s="78" t="s">
        <v>3915</v>
      </c>
      <c r="C44" s="79">
        <v>2.0251500009433E13</v>
      </c>
      <c r="D44" s="78" t="s">
        <v>4003</v>
      </c>
      <c r="E44" s="78" t="s">
        <v>342</v>
      </c>
      <c r="F44" s="80">
        <v>45693.0</v>
      </c>
      <c r="G44" s="78" t="s">
        <v>343</v>
      </c>
      <c r="H44" s="81" t="s">
        <v>3917</v>
      </c>
      <c r="I44" s="82">
        <v>1.143855242E9</v>
      </c>
      <c r="J44" s="83" t="s">
        <v>4004</v>
      </c>
      <c r="K44" s="81">
        <v>3.0247925E7</v>
      </c>
      <c r="L44" s="84">
        <v>45695.0</v>
      </c>
      <c r="M44" s="85">
        <v>288840.0</v>
      </c>
    </row>
    <row r="45">
      <c r="A45" s="77">
        <v>44.0</v>
      </c>
      <c r="B45" s="78" t="s">
        <v>3915</v>
      </c>
      <c r="C45" s="79">
        <v>2.0251300009513E13</v>
      </c>
      <c r="D45" s="78" t="s">
        <v>4005</v>
      </c>
      <c r="E45" s="78" t="s">
        <v>129</v>
      </c>
      <c r="F45" s="80">
        <v>45693.0</v>
      </c>
      <c r="G45" s="78" t="s">
        <v>130</v>
      </c>
      <c r="H45" s="81" t="s">
        <v>3917</v>
      </c>
      <c r="I45" s="82">
        <v>1.010244152E9</v>
      </c>
      <c r="J45" s="83" t="s">
        <v>4006</v>
      </c>
      <c r="K45" s="81">
        <v>3.1475125E7</v>
      </c>
      <c r="L45" s="84">
        <v>45698.0</v>
      </c>
      <c r="M45" s="85">
        <v>5096000.0</v>
      </c>
    </row>
    <row r="46">
      <c r="A46" s="77">
        <v>45.0</v>
      </c>
      <c r="B46" s="78" t="s">
        <v>3915</v>
      </c>
      <c r="C46" s="79">
        <v>2.0251610009583E13</v>
      </c>
      <c r="D46" s="78" t="s">
        <v>4007</v>
      </c>
      <c r="E46" s="78" t="s">
        <v>118</v>
      </c>
      <c r="F46" s="80">
        <v>45693.0</v>
      </c>
      <c r="G46" s="78" t="s">
        <v>4008</v>
      </c>
      <c r="H46" s="81" t="s">
        <v>3917</v>
      </c>
      <c r="I46" s="82">
        <v>1.014280937E9</v>
      </c>
      <c r="J46" s="83" t="s">
        <v>4009</v>
      </c>
      <c r="K46" s="81">
        <v>3.2757825E7</v>
      </c>
      <c r="L46" s="84">
        <v>45699.0</v>
      </c>
      <c r="M46" s="85">
        <v>2409330.0</v>
      </c>
    </row>
    <row r="47">
      <c r="A47" s="77">
        <v>46.0</v>
      </c>
      <c r="B47" s="78" t="s">
        <v>3915</v>
      </c>
      <c r="C47" s="79">
        <v>2.0251140009663E13</v>
      </c>
      <c r="D47" s="78" t="s">
        <v>4010</v>
      </c>
      <c r="E47" s="78" t="s">
        <v>54</v>
      </c>
      <c r="F47" s="80">
        <v>45693.0</v>
      </c>
      <c r="G47" s="78" t="s">
        <v>55</v>
      </c>
      <c r="H47" s="81" t="s">
        <v>3917</v>
      </c>
      <c r="I47" s="82">
        <v>1.082863101E9</v>
      </c>
      <c r="J47" s="83" t="s">
        <v>4011</v>
      </c>
      <c r="K47" s="81">
        <v>2.9096325E7</v>
      </c>
      <c r="L47" s="84">
        <v>45694.0</v>
      </c>
      <c r="M47" s="85">
        <v>4600000.0</v>
      </c>
    </row>
    <row r="48">
      <c r="A48" s="77">
        <v>47.0</v>
      </c>
      <c r="B48" s="78" t="s">
        <v>3915</v>
      </c>
      <c r="C48" s="79">
        <v>2.0251120009673E13</v>
      </c>
      <c r="D48" s="78" t="s">
        <v>4012</v>
      </c>
      <c r="E48" s="78" t="s">
        <v>237</v>
      </c>
      <c r="F48" s="80">
        <v>45693.0</v>
      </c>
      <c r="G48" s="78" t="s">
        <v>238</v>
      </c>
      <c r="H48" s="81" t="s">
        <v>3917</v>
      </c>
      <c r="I48" s="82">
        <v>9.1251483E7</v>
      </c>
      <c r="J48" s="83" t="s">
        <v>4013</v>
      </c>
      <c r="K48" s="81">
        <v>3.3344625E7</v>
      </c>
      <c r="L48" s="84">
        <v>45700.0</v>
      </c>
      <c r="M48" s="85">
        <v>5156760.0</v>
      </c>
    </row>
    <row r="49">
      <c r="A49" s="77">
        <v>48.0</v>
      </c>
      <c r="B49" s="78" t="s">
        <v>3915</v>
      </c>
      <c r="C49" s="79">
        <v>2.0251610009223E13</v>
      </c>
      <c r="D49" s="78" t="s">
        <v>4014</v>
      </c>
      <c r="E49" s="78" t="s">
        <v>562</v>
      </c>
      <c r="F49" s="80">
        <v>45693.0</v>
      </c>
      <c r="G49" s="78" t="s">
        <v>558</v>
      </c>
      <c r="H49" s="81" t="s">
        <v>3917</v>
      </c>
      <c r="I49" s="82">
        <v>1.144099527E9</v>
      </c>
      <c r="J49" s="83" t="s">
        <v>4015</v>
      </c>
      <c r="K49" s="81">
        <v>3.2757625E7</v>
      </c>
      <c r="L49" s="84">
        <v>45699.0</v>
      </c>
      <c r="M49" s="85">
        <v>1020670.0</v>
      </c>
    </row>
    <row r="50">
      <c r="A50" s="77">
        <v>49.0</v>
      </c>
      <c r="B50" s="78" t="s">
        <v>3915</v>
      </c>
      <c r="C50" s="79">
        <v>2.0251610009293E13</v>
      </c>
      <c r="D50" s="78" t="s">
        <v>4016</v>
      </c>
      <c r="E50" s="78" t="s">
        <v>353</v>
      </c>
      <c r="F50" s="80">
        <v>45693.0</v>
      </c>
      <c r="G50" s="78" t="s">
        <v>354</v>
      </c>
      <c r="H50" s="81" t="s">
        <v>3917</v>
      </c>
      <c r="I50" s="82">
        <v>1.018453844E9</v>
      </c>
      <c r="J50" s="83" t="s">
        <v>4017</v>
      </c>
      <c r="K50" s="81">
        <v>3.0141425E7</v>
      </c>
      <c r="L50" s="84">
        <v>45695.0</v>
      </c>
      <c r="M50" s="85">
        <v>5556320.0</v>
      </c>
    </row>
    <row r="51">
      <c r="A51" s="77">
        <v>50.0</v>
      </c>
      <c r="B51" s="78" t="s">
        <v>3915</v>
      </c>
      <c r="C51" s="79">
        <v>2.0251610009303E13</v>
      </c>
      <c r="D51" s="78" t="s">
        <v>4018</v>
      </c>
      <c r="E51" s="78" t="s">
        <v>320</v>
      </c>
      <c r="F51" s="80">
        <v>45693.0</v>
      </c>
      <c r="G51" s="78" t="s">
        <v>4019</v>
      </c>
      <c r="H51" s="81" t="s">
        <v>3917</v>
      </c>
      <c r="I51" s="82">
        <v>5.2866537E7</v>
      </c>
      <c r="J51" s="83" t="s">
        <v>4020</v>
      </c>
      <c r="K51" s="81">
        <v>3.0150025E7</v>
      </c>
      <c r="L51" s="84">
        <v>45695.0</v>
      </c>
      <c r="M51" s="85">
        <v>5556320.0</v>
      </c>
    </row>
    <row r="52">
      <c r="A52" s="77">
        <v>51.0</v>
      </c>
      <c r="B52" s="78" t="s">
        <v>3915</v>
      </c>
      <c r="C52" s="79">
        <v>2.0251610009383E13</v>
      </c>
      <c r="D52" s="78" t="s">
        <v>4021</v>
      </c>
      <c r="E52" s="78" t="s">
        <v>285</v>
      </c>
      <c r="F52" s="80">
        <v>45693.0</v>
      </c>
      <c r="G52" s="78" t="s">
        <v>4022</v>
      </c>
      <c r="H52" s="81" t="s">
        <v>3917</v>
      </c>
      <c r="I52" s="82">
        <v>1.019089253E9</v>
      </c>
      <c r="J52" s="83" t="s">
        <v>4023</v>
      </c>
      <c r="K52" s="81">
        <v>3.2757725E7</v>
      </c>
      <c r="L52" s="84">
        <v>45699.0</v>
      </c>
      <c r="M52" s="85">
        <v>2455600.0</v>
      </c>
    </row>
    <row r="53">
      <c r="A53" s="77">
        <v>52.0</v>
      </c>
      <c r="B53" s="78" t="s">
        <v>3915</v>
      </c>
      <c r="C53" s="79">
        <v>2.0251610009173E13</v>
      </c>
      <c r="D53" s="78" t="s">
        <v>4024</v>
      </c>
      <c r="E53" s="78" t="s">
        <v>212</v>
      </c>
      <c r="F53" s="80">
        <v>45693.0</v>
      </c>
      <c r="G53" s="78" t="s">
        <v>4025</v>
      </c>
      <c r="H53" s="81" t="s">
        <v>3917</v>
      </c>
      <c r="I53" s="82">
        <v>1.193447899E9</v>
      </c>
      <c r="J53" s="83" t="s">
        <v>4026</v>
      </c>
      <c r="K53" s="81">
        <v>3.2757425E7</v>
      </c>
      <c r="L53" s="84">
        <v>45699.0</v>
      </c>
      <c r="M53" s="85">
        <v>2299815.0</v>
      </c>
    </row>
    <row r="54">
      <c r="A54" s="77">
        <v>53.0</v>
      </c>
      <c r="B54" s="78" t="s">
        <v>3915</v>
      </c>
      <c r="C54" s="79">
        <v>2.0251610009203E13</v>
      </c>
      <c r="D54" s="78" t="s">
        <v>4027</v>
      </c>
      <c r="E54" s="78" t="s">
        <v>166</v>
      </c>
      <c r="F54" s="80">
        <v>45693.0</v>
      </c>
      <c r="G54" s="78" t="s">
        <v>167</v>
      </c>
      <c r="H54" s="81" t="s">
        <v>3917</v>
      </c>
      <c r="I54" s="82">
        <v>1.026586964E9</v>
      </c>
      <c r="J54" s="83" t="s">
        <v>4028</v>
      </c>
      <c r="K54" s="81">
        <v>3.2757325E7</v>
      </c>
      <c r="L54" s="84">
        <v>45699.0</v>
      </c>
      <c r="M54" s="85">
        <v>3062010.0</v>
      </c>
    </row>
    <row r="55">
      <c r="A55" s="77">
        <v>54.0</v>
      </c>
      <c r="B55" s="78" t="s">
        <v>3915</v>
      </c>
      <c r="C55" s="79">
        <v>2.0251610009213E13</v>
      </c>
      <c r="D55" s="78" t="s">
        <v>4029</v>
      </c>
      <c r="E55" s="78" t="s">
        <v>4030</v>
      </c>
      <c r="F55" s="80">
        <v>45693.0</v>
      </c>
      <c r="G55" s="78" t="s">
        <v>565</v>
      </c>
      <c r="H55" s="81" t="s">
        <v>3917</v>
      </c>
      <c r="I55" s="82">
        <v>1.02235787E9</v>
      </c>
      <c r="J55" s="83" t="s">
        <v>4031</v>
      </c>
      <c r="K55" s="81">
        <v>3.2757525E7</v>
      </c>
      <c r="L55" s="84">
        <v>45699.0</v>
      </c>
      <c r="M55" s="85">
        <v>1554770.0</v>
      </c>
    </row>
    <row r="56">
      <c r="A56" s="77">
        <v>55.0</v>
      </c>
      <c r="B56" s="78" t="s">
        <v>3915</v>
      </c>
      <c r="C56" s="79">
        <v>2.0251610009403E13</v>
      </c>
      <c r="D56" s="78" t="s">
        <v>4032</v>
      </c>
      <c r="E56" s="78" t="s">
        <v>411</v>
      </c>
      <c r="F56" s="80">
        <v>45693.0</v>
      </c>
      <c r="G56" s="78" t="s">
        <v>4033</v>
      </c>
      <c r="H56" s="81" t="s">
        <v>3917</v>
      </c>
      <c r="I56" s="82">
        <v>1.020804167E9</v>
      </c>
      <c r="J56" s="83" t="s">
        <v>4034</v>
      </c>
      <c r="K56" s="81">
        <v>3.3744925E7</v>
      </c>
      <c r="L56" s="84">
        <v>45700.0</v>
      </c>
      <c r="M56" s="85">
        <v>4517310.0</v>
      </c>
    </row>
    <row r="57">
      <c r="A57" s="77">
        <v>56.0</v>
      </c>
      <c r="B57" s="78" t="s">
        <v>3915</v>
      </c>
      <c r="C57" s="79">
        <v>2.0251610009573E13</v>
      </c>
      <c r="D57" s="78" t="s">
        <v>4035</v>
      </c>
      <c r="E57" s="78" t="s">
        <v>314</v>
      </c>
      <c r="F57" s="80">
        <v>45693.0</v>
      </c>
      <c r="G57" s="78" t="s">
        <v>315</v>
      </c>
      <c r="H57" s="81" t="s">
        <v>3917</v>
      </c>
      <c r="I57" s="82">
        <v>1.019009968E9</v>
      </c>
      <c r="J57" s="83" t="s">
        <v>4036</v>
      </c>
      <c r="K57" s="81">
        <v>3.0249125E7</v>
      </c>
      <c r="L57" s="84">
        <v>45695.0</v>
      </c>
      <c r="M57" s="85">
        <v>7047338.0</v>
      </c>
    </row>
    <row r="58">
      <c r="A58" s="77">
        <v>57.0</v>
      </c>
      <c r="B58" s="78" t="s">
        <v>3915</v>
      </c>
      <c r="C58" s="79">
        <v>2.0251610009593E13</v>
      </c>
      <c r="D58" s="78" t="s">
        <v>4037</v>
      </c>
      <c r="E58" s="78" t="s">
        <v>295</v>
      </c>
      <c r="F58" s="80">
        <v>45693.0</v>
      </c>
      <c r="G58" s="78" t="s">
        <v>296</v>
      </c>
      <c r="H58" s="81" t="s">
        <v>3917</v>
      </c>
      <c r="I58" s="82">
        <v>1.004754082E9</v>
      </c>
      <c r="J58" s="83" t="s">
        <v>4038</v>
      </c>
      <c r="K58" s="81">
        <v>3.2757925E7</v>
      </c>
      <c r="L58" s="84">
        <v>45699.0</v>
      </c>
      <c r="M58" s="85">
        <v>1752240.0</v>
      </c>
    </row>
    <row r="59">
      <c r="A59" s="77">
        <v>58.0</v>
      </c>
      <c r="B59" s="78" t="s">
        <v>3915</v>
      </c>
      <c r="C59" s="79">
        <v>2.0251610009693E13</v>
      </c>
      <c r="D59" s="78" t="s">
        <v>4039</v>
      </c>
      <c r="E59" s="78" t="s">
        <v>4040</v>
      </c>
      <c r="F59" s="80">
        <v>45693.0</v>
      </c>
      <c r="G59" s="78" t="s">
        <v>563</v>
      </c>
      <c r="H59" s="81" t="s">
        <v>3917</v>
      </c>
      <c r="I59" s="82">
        <v>1.100838461E9</v>
      </c>
      <c r="J59" s="83" t="s">
        <v>4041</v>
      </c>
      <c r="K59" s="81">
        <v>3.2758025E7</v>
      </c>
      <c r="L59" s="84">
        <v>45699.0</v>
      </c>
      <c r="M59" s="85">
        <v>1718920.0</v>
      </c>
    </row>
    <row r="60">
      <c r="A60" s="77">
        <v>59.0</v>
      </c>
      <c r="B60" s="78" t="s">
        <v>3915</v>
      </c>
      <c r="C60" s="79">
        <v>2.0251140009713E13</v>
      </c>
      <c r="D60" s="78" t="s">
        <v>4042</v>
      </c>
      <c r="E60" s="78" t="s">
        <v>69</v>
      </c>
      <c r="F60" s="80">
        <v>45693.0</v>
      </c>
      <c r="G60" s="78" t="s">
        <v>70</v>
      </c>
      <c r="H60" s="81" t="s">
        <v>3917</v>
      </c>
      <c r="I60" s="82" t="s">
        <v>37</v>
      </c>
      <c r="J60" s="83" t="s">
        <v>4043</v>
      </c>
      <c r="K60" s="81">
        <v>3.3743325E7</v>
      </c>
      <c r="L60" s="84">
        <v>45700.0</v>
      </c>
      <c r="M60" s="85">
        <v>4400000.0</v>
      </c>
    </row>
    <row r="61">
      <c r="A61" s="77">
        <v>60.0</v>
      </c>
      <c r="B61" s="78" t="s">
        <v>3915</v>
      </c>
      <c r="C61" s="79">
        <v>2.0251700009733E13</v>
      </c>
      <c r="D61" s="78" t="s">
        <v>4044</v>
      </c>
      <c r="E61" s="78" t="s">
        <v>2737</v>
      </c>
      <c r="F61" s="80">
        <v>45693.0</v>
      </c>
      <c r="G61" s="78" t="s">
        <v>584</v>
      </c>
      <c r="H61" s="81" t="s">
        <v>3917</v>
      </c>
      <c r="I61" s="82">
        <v>8.0724862E7</v>
      </c>
      <c r="J61" s="83" t="s">
        <v>4045</v>
      </c>
      <c r="K61" s="81">
        <v>3.3743725E7</v>
      </c>
      <c r="L61" s="84">
        <v>45700.0</v>
      </c>
      <c r="M61" s="85">
        <v>1389080.0</v>
      </c>
    </row>
    <row r="62">
      <c r="A62" s="77">
        <v>61.0</v>
      </c>
      <c r="B62" s="78" t="s">
        <v>3915</v>
      </c>
      <c r="C62" s="79">
        <v>2.0251610009753E13</v>
      </c>
      <c r="D62" s="78" t="s">
        <v>4046</v>
      </c>
      <c r="E62" s="78" t="s">
        <v>376</v>
      </c>
      <c r="F62" s="80">
        <v>45693.0</v>
      </c>
      <c r="G62" s="78" t="s">
        <v>377</v>
      </c>
      <c r="H62" s="81" t="s">
        <v>3917</v>
      </c>
      <c r="I62" s="82">
        <v>1.075222248E9</v>
      </c>
      <c r="J62" s="83" t="s">
        <v>4047</v>
      </c>
      <c r="K62" s="81">
        <v>3.3343725E7</v>
      </c>
      <c r="L62" s="84">
        <v>45700.0</v>
      </c>
      <c r="M62" s="85">
        <v>4325000.0</v>
      </c>
    </row>
    <row r="63">
      <c r="A63" s="77">
        <v>62.0</v>
      </c>
      <c r="B63" s="78" t="s">
        <v>3915</v>
      </c>
      <c r="C63" s="79">
        <v>2.0251610009743E13</v>
      </c>
      <c r="D63" s="78" t="s">
        <v>4048</v>
      </c>
      <c r="E63" s="78" t="s">
        <v>159</v>
      </c>
      <c r="F63" s="80">
        <v>45693.0</v>
      </c>
      <c r="G63" s="78" t="s">
        <v>4049</v>
      </c>
      <c r="H63" s="81" t="s">
        <v>3917</v>
      </c>
      <c r="I63" s="82">
        <v>1.018456896E9</v>
      </c>
      <c r="J63" s="83" t="s">
        <v>4050</v>
      </c>
      <c r="K63" s="81">
        <v>3.3343225E7</v>
      </c>
      <c r="L63" s="84">
        <v>45700.0</v>
      </c>
      <c r="M63" s="85">
        <v>6055000.0</v>
      </c>
    </row>
    <row r="64">
      <c r="A64" s="77">
        <v>63.0</v>
      </c>
      <c r="B64" s="78" t="s">
        <v>3915</v>
      </c>
      <c r="C64" s="79">
        <v>2.0251300009793E13</v>
      </c>
      <c r="D64" s="78" t="s">
        <v>4051</v>
      </c>
      <c r="E64" s="78" t="s">
        <v>2749</v>
      </c>
      <c r="F64" s="80">
        <v>45693.0</v>
      </c>
      <c r="G64" s="78" t="s">
        <v>595</v>
      </c>
      <c r="H64" s="81" t="s">
        <v>3917</v>
      </c>
      <c r="I64" s="82">
        <v>5.312276E7</v>
      </c>
      <c r="J64" s="83" t="s">
        <v>4052</v>
      </c>
      <c r="K64" s="81">
        <v>3.2330825E7</v>
      </c>
      <c r="L64" s="84">
        <v>45699.0</v>
      </c>
      <c r="M64" s="85">
        <v>830000.0</v>
      </c>
    </row>
    <row r="65">
      <c r="A65" s="77">
        <v>64.0</v>
      </c>
      <c r="B65" s="78" t="s">
        <v>3915</v>
      </c>
      <c r="C65" s="79">
        <v>2.0251800009803E13</v>
      </c>
      <c r="D65" s="78" t="s">
        <v>4053</v>
      </c>
      <c r="E65" s="78" t="s">
        <v>2777</v>
      </c>
      <c r="F65" s="80">
        <v>45693.0</v>
      </c>
      <c r="G65" s="78" t="s">
        <v>613</v>
      </c>
      <c r="H65" s="81" t="s">
        <v>3917</v>
      </c>
      <c r="I65" s="82">
        <v>1.073384272E9</v>
      </c>
      <c r="J65" s="83" t="s">
        <v>4054</v>
      </c>
      <c r="K65" s="81">
        <v>3.7157225E7</v>
      </c>
      <c r="L65" s="84">
        <v>45705.0</v>
      </c>
      <c r="M65" s="85">
        <v>729733.0</v>
      </c>
    </row>
    <row r="66">
      <c r="A66" s="77">
        <v>65.0</v>
      </c>
      <c r="B66" s="78" t="s">
        <v>3915</v>
      </c>
      <c r="C66" s="79">
        <v>2.0251800009813E13</v>
      </c>
      <c r="D66" s="78" t="s">
        <v>4055</v>
      </c>
      <c r="E66" s="78" t="s">
        <v>2846</v>
      </c>
      <c r="F66" s="80">
        <v>45693.0</v>
      </c>
      <c r="G66" s="78" t="s">
        <v>659</v>
      </c>
      <c r="H66" s="81" t="s">
        <v>3917</v>
      </c>
      <c r="I66" s="82">
        <v>4.2145409E7</v>
      </c>
      <c r="J66" s="83" t="s">
        <v>4056</v>
      </c>
      <c r="K66" s="81">
        <v>3.0246025E7</v>
      </c>
      <c r="L66" s="84">
        <v>45695.0</v>
      </c>
      <c r="M66" s="85">
        <v>547300.0</v>
      </c>
    </row>
    <row r="67">
      <c r="A67" s="77">
        <v>66.0</v>
      </c>
      <c r="B67" s="78" t="s">
        <v>3915</v>
      </c>
      <c r="C67" s="79">
        <v>2.0251500009823E13</v>
      </c>
      <c r="D67" s="78" t="s">
        <v>4057</v>
      </c>
      <c r="E67" s="78" t="s">
        <v>177</v>
      </c>
      <c r="F67" s="80">
        <v>45693.0</v>
      </c>
      <c r="G67" s="78" t="s">
        <v>178</v>
      </c>
      <c r="H67" s="81" t="s">
        <v>3917</v>
      </c>
      <c r="I67" s="82">
        <v>5.3040784E7</v>
      </c>
      <c r="J67" s="83" t="s">
        <v>4058</v>
      </c>
      <c r="K67" s="81">
        <v>2.9027125E7</v>
      </c>
      <c r="L67" s="84">
        <v>45694.0</v>
      </c>
      <c r="M67" s="85">
        <v>6238050.0</v>
      </c>
    </row>
    <row r="68">
      <c r="A68" s="77">
        <v>67.0</v>
      </c>
      <c r="B68" s="78" t="s">
        <v>3915</v>
      </c>
      <c r="C68" s="79">
        <v>2.0251300009833E13</v>
      </c>
      <c r="D68" s="78" t="s">
        <v>4059</v>
      </c>
      <c r="E68" s="78" t="s">
        <v>329</v>
      </c>
      <c r="F68" s="80">
        <v>45693.0</v>
      </c>
      <c r="G68" s="78" t="s">
        <v>330</v>
      </c>
      <c r="H68" s="81" t="s">
        <v>3917</v>
      </c>
      <c r="I68" s="82">
        <v>1.003691415E9</v>
      </c>
      <c r="J68" s="83" t="s">
        <v>4060</v>
      </c>
      <c r="K68" s="81">
        <v>2.9026125E7</v>
      </c>
      <c r="L68" s="84">
        <v>45694.0</v>
      </c>
      <c r="M68" s="85">
        <v>1603067.0</v>
      </c>
    </row>
    <row r="69">
      <c r="A69" s="77">
        <v>68.0</v>
      </c>
      <c r="B69" s="78" t="s">
        <v>3915</v>
      </c>
      <c r="C69" s="79">
        <v>2.0251300009843E13</v>
      </c>
      <c r="D69" s="78" t="s">
        <v>4061</v>
      </c>
      <c r="E69" s="78" t="s">
        <v>259</v>
      </c>
      <c r="F69" s="80">
        <v>45693.0</v>
      </c>
      <c r="G69" s="78" t="s">
        <v>260</v>
      </c>
      <c r="H69" s="81" t="s">
        <v>3917</v>
      </c>
      <c r="I69" s="82">
        <v>1.070924443E9</v>
      </c>
      <c r="J69" s="83" t="s">
        <v>4062</v>
      </c>
      <c r="K69" s="81">
        <v>2.9095325E7</v>
      </c>
      <c r="L69" s="84">
        <v>45694.0</v>
      </c>
      <c r="M69" s="85">
        <v>2450400.0</v>
      </c>
    </row>
    <row r="70">
      <c r="A70" s="77">
        <v>69.0</v>
      </c>
      <c r="B70" s="78" t="s">
        <v>3915</v>
      </c>
      <c r="C70" s="79">
        <v>2.0251130009603E13</v>
      </c>
      <c r="D70" s="78" t="s">
        <v>4063</v>
      </c>
      <c r="E70" s="78" t="s">
        <v>391</v>
      </c>
      <c r="F70" s="80">
        <v>45693.0</v>
      </c>
      <c r="G70" s="78" t="s">
        <v>392</v>
      </c>
      <c r="H70" s="81" t="s">
        <v>3917</v>
      </c>
      <c r="I70" s="82">
        <v>7.9448382E7</v>
      </c>
      <c r="J70" s="83" t="s">
        <v>4064</v>
      </c>
      <c r="K70" s="81">
        <v>3.0122225E7</v>
      </c>
      <c r="L70" s="84">
        <v>45695.0</v>
      </c>
      <c r="M70" s="85">
        <v>4500000.0</v>
      </c>
    </row>
    <row r="71">
      <c r="A71" s="77">
        <v>70.0</v>
      </c>
      <c r="B71" s="78" t="s">
        <v>3915</v>
      </c>
      <c r="C71" s="79">
        <v>2.0251130009883E13</v>
      </c>
      <c r="D71" s="78" t="s">
        <v>4065</v>
      </c>
      <c r="E71" s="78" t="s">
        <v>270</v>
      </c>
      <c r="F71" s="80">
        <v>45693.0</v>
      </c>
      <c r="G71" s="78" t="s">
        <v>271</v>
      </c>
      <c r="H71" s="81" t="s">
        <v>3917</v>
      </c>
      <c r="I71" s="82">
        <v>1.110550504E9</v>
      </c>
      <c r="J71" s="83" t="s">
        <v>4066</v>
      </c>
      <c r="K71" s="81">
        <v>2.9095825E7</v>
      </c>
      <c r="L71" s="84">
        <v>45694.0</v>
      </c>
      <c r="M71" s="85">
        <v>2895499.0</v>
      </c>
    </row>
    <row r="72">
      <c r="A72" s="77">
        <v>71.0</v>
      </c>
      <c r="B72" s="78" t="s">
        <v>3915</v>
      </c>
      <c r="C72" s="79">
        <v>2.0251000009903E13</v>
      </c>
      <c r="D72" s="78" t="s">
        <v>4067</v>
      </c>
      <c r="E72" s="78" t="s">
        <v>4068</v>
      </c>
      <c r="F72" s="80">
        <v>45693.0</v>
      </c>
      <c r="G72" s="78" t="s">
        <v>531</v>
      </c>
      <c r="H72" s="81" t="s">
        <v>3917</v>
      </c>
      <c r="I72" s="82">
        <v>1.037608001E9</v>
      </c>
      <c r="J72" s="83" t="s">
        <v>4069</v>
      </c>
      <c r="K72" s="81">
        <v>2.9029025E7</v>
      </c>
      <c r="L72" s="84">
        <v>45694.0</v>
      </c>
      <c r="M72" s="85">
        <v>1726667.0</v>
      </c>
    </row>
    <row r="73">
      <c r="A73" s="77">
        <v>72.0</v>
      </c>
      <c r="B73" s="78" t="s">
        <v>3915</v>
      </c>
      <c r="C73" s="79">
        <v>2.0251000009913E13</v>
      </c>
      <c r="D73" s="78" t="s">
        <v>4070</v>
      </c>
      <c r="E73" s="78" t="s">
        <v>101</v>
      </c>
      <c r="F73" s="80">
        <v>45693.0</v>
      </c>
      <c r="G73" s="78" t="s">
        <v>102</v>
      </c>
      <c r="H73" s="81" t="s">
        <v>3917</v>
      </c>
      <c r="I73" s="82">
        <v>1.016013668E9</v>
      </c>
      <c r="J73" s="83" t="s">
        <v>4071</v>
      </c>
      <c r="K73" s="81">
        <v>3.3742425E7</v>
      </c>
      <c r="L73" s="84">
        <v>45700.0</v>
      </c>
      <c r="M73" s="85">
        <v>5500000.0</v>
      </c>
    </row>
    <row r="74">
      <c r="A74" s="77">
        <v>73.0</v>
      </c>
      <c r="B74" s="78" t="s">
        <v>3915</v>
      </c>
      <c r="C74" s="79">
        <v>2.0251300009923E13</v>
      </c>
      <c r="D74" s="78" t="s">
        <v>4072</v>
      </c>
      <c r="E74" s="78" t="s">
        <v>460</v>
      </c>
      <c r="F74" s="80">
        <v>45693.0</v>
      </c>
      <c r="G74" s="78" t="s">
        <v>461</v>
      </c>
      <c r="H74" s="81" t="s">
        <v>3917</v>
      </c>
      <c r="I74" s="82">
        <v>9.323712E7</v>
      </c>
      <c r="J74" s="83" t="s">
        <v>4073</v>
      </c>
      <c r="K74" s="81">
        <v>3.7150525E7</v>
      </c>
      <c r="L74" s="84">
        <v>45705.0</v>
      </c>
      <c r="M74" s="85">
        <v>2666667.0</v>
      </c>
    </row>
    <row r="75">
      <c r="A75" s="77">
        <v>74.0</v>
      </c>
      <c r="B75" s="78" t="s">
        <v>3915</v>
      </c>
      <c r="C75" s="79">
        <v>2.0251610009773E13</v>
      </c>
      <c r="D75" s="78" t="s">
        <v>4074</v>
      </c>
      <c r="E75" s="78" t="s">
        <v>553</v>
      </c>
      <c r="F75" s="80">
        <v>45694.0</v>
      </c>
      <c r="G75" s="78" t="s">
        <v>554</v>
      </c>
      <c r="H75" s="81" t="s">
        <v>3917</v>
      </c>
      <c r="I75" s="82">
        <v>1.07413537E9</v>
      </c>
      <c r="J75" s="83" t="s">
        <v>4075</v>
      </c>
      <c r="K75" s="81">
        <v>3.2758125E7</v>
      </c>
      <c r="L75" s="84">
        <v>45699.0</v>
      </c>
      <c r="M75" s="85">
        <v>1554770.0</v>
      </c>
    </row>
    <row r="76">
      <c r="A76" s="77">
        <v>75.0</v>
      </c>
      <c r="B76" s="78" t="s">
        <v>3915</v>
      </c>
      <c r="C76" s="79">
        <v>2.0251610009413E13</v>
      </c>
      <c r="D76" s="78" t="s">
        <v>4076</v>
      </c>
      <c r="E76" s="78" t="s">
        <v>309</v>
      </c>
      <c r="F76" s="80">
        <v>45694.0</v>
      </c>
      <c r="G76" s="78" t="s">
        <v>310</v>
      </c>
      <c r="H76" s="81" t="s">
        <v>3917</v>
      </c>
      <c r="I76" s="82">
        <v>1.08829271E9</v>
      </c>
      <c r="J76" s="83" t="s">
        <v>4077</v>
      </c>
      <c r="K76" s="81">
        <v>3.0243625E7</v>
      </c>
      <c r="L76" s="84">
        <v>45695.0</v>
      </c>
      <c r="M76" s="85">
        <v>4455360.0</v>
      </c>
    </row>
    <row r="77">
      <c r="A77" s="77">
        <v>76.0</v>
      </c>
      <c r="B77" s="78" t="s">
        <v>3915</v>
      </c>
      <c r="C77" s="79">
        <v>2.0251500009723E13</v>
      </c>
      <c r="D77" s="78" t="s">
        <v>4078</v>
      </c>
      <c r="E77" s="78" t="s">
        <v>247</v>
      </c>
      <c r="F77" s="80">
        <v>45694.0</v>
      </c>
      <c r="G77" s="78" t="s">
        <v>249</v>
      </c>
      <c r="H77" s="81" t="s">
        <v>3917</v>
      </c>
      <c r="I77" s="82">
        <v>1.006772235E9</v>
      </c>
      <c r="J77" s="83" t="s">
        <v>4079</v>
      </c>
      <c r="K77" s="81">
        <v>3.0251425E7</v>
      </c>
      <c r="L77" s="84">
        <v>45695.0</v>
      </c>
      <c r="M77" s="85">
        <v>1396720.0</v>
      </c>
    </row>
    <row r="78">
      <c r="A78" s="77">
        <v>77.0</v>
      </c>
      <c r="B78" s="78" t="s">
        <v>3915</v>
      </c>
      <c r="C78" s="79">
        <v>2.0251140010023E13</v>
      </c>
      <c r="D78" s="78" t="s">
        <v>4080</v>
      </c>
      <c r="E78" s="78" t="s">
        <v>49</v>
      </c>
      <c r="F78" s="80">
        <v>45694.0</v>
      </c>
      <c r="G78" s="78" t="s">
        <v>50</v>
      </c>
      <c r="H78" s="81" t="s">
        <v>3917</v>
      </c>
      <c r="I78" s="82">
        <v>1.053821048E9</v>
      </c>
      <c r="J78" s="83" t="s">
        <v>4081</v>
      </c>
      <c r="K78" s="81">
        <v>3.8272425E7</v>
      </c>
      <c r="L78" s="84">
        <v>45705.0</v>
      </c>
      <c r="M78" s="85">
        <v>3510467.0</v>
      </c>
    </row>
    <row r="79">
      <c r="A79" s="77">
        <v>78.0</v>
      </c>
      <c r="B79" s="78" t="s">
        <v>3915</v>
      </c>
      <c r="C79" s="79">
        <v>2.0251300010043E13</v>
      </c>
      <c r="D79" s="78" t="s">
        <v>4082</v>
      </c>
      <c r="E79" s="78" t="s">
        <v>434</v>
      </c>
      <c r="F79" s="80">
        <v>45694.0</v>
      </c>
      <c r="G79" s="78" t="s">
        <v>1624</v>
      </c>
      <c r="H79" s="81" t="s">
        <v>3917</v>
      </c>
      <c r="I79" s="82">
        <v>1.022406922E9</v>
      </c>
      <c r="J79" s="83" t="s">
        <v>4083</v>
      </c>
      <c r="K79" s="81">
        <v>3.9266825E7</v>
      </c>
      <c r="L79" s="84">
        <v>45706.0</v>
      </c>
      <c r="M79" s="85">
        <v>2106867.0</v>
      </c>
    </row>
    <row r="80">
      <c r="A80" s="77">
        <v>79.0</v>
      </c>
      <c r="B80" s="78" t="s">
        <v>3915</v>
      </c>
      <c r="C80" s="79">
        <v>2.0251300010053E13</v>
      </c>
      <c r="D80" s="78" t="s">
        <v>4084</v>
      </c>
      <c r="E80" s="78" t="s">
        <v>2872</v>
      </c>
      <c r="F80" s="80">
        <v>45694.0</v>
      </c>
      <c r="G80" s="78" t="s">
        <v>678</v>
      </c>
      <c r="H80" s="81" t="s">
        <v>3917</v>
      </c>
      <c r="I80" s="82">
        <v>1.024554244E9</v>
      </c>
      <c r="J80" s="83" t="s">
        <v>4085</v>
      </c>
      <c r="K80" s="81">
        <v>3.9611725E7</v>
      </c>
      <c r="L80" s="84">
        <v>45706.0</v>
      </c>
      <c r="M80" s="85">
        <v>510000.0</v>
      </c>
    </row>
    <row r="81">
      <c r="A81" s="77">
        <v>80.0</v>
      </c>
      <c r="B81" s="78" t="s">
        <v>3915</v>
      </c>
      <c r="C81" s="79">
        <v>2.0251610009963E13</v>
      </c>
      <c r="D81" s="78" t="s">
        <v>4086</v>
      </c>
      <c r="E81" s="78" t="s">
        <v>87</v>
      </c>
      <c r="F81" s="80">
        <v>45694.0</v>
      </c>
      <c r="G81" s="78" t="s">
        <v>88</v>
      </c>
      <c r="H81" s="81" t="s">
        <v>3917</v>
      </c>
      <c r="I81" s="82">
        <v>1.02078112E9</v>
      </c>
      <c r="J81" s="83" t="s">
        <v>4087</v>
      </c>
      <c r="K81" s="81">
        <v>3.3345825E7</v>
      </c>
      <c r="L81" s="84">
        <v>45700.0</v>
      </c>
      <c r="M81" s="85">
        <v>5824280.0</v>
      </c>
    </row>
    <row r="82">
      <c r="A82" s="77">
        <v>81.0</v>
      </c>
      <c r="B82" s="78" t="s">
        <v>3915</v>
      </c>
      <c r="C82" s="79">
        <v>2.0251500010103E13</v>
      </c>
      <c r="D82" s="78" t="s">
        <v>4088</v>
      </c>
      <c r="E82" s="78" t="s">
        <v>183</v>
      </c>
      <c r="F82" s="80">
        <v>45694.0</v>
      </c>
      <c r="G82" s="78" t="s">
        <v>184</v>
      </c>
      <c r="H82" s="81" t="s">
        <v>3917</v>
      </c>
      <c r="I82" s="82">
        <v>1.024471867E9</v>
      </c>
      <c r="J82" s="83" t="s">
        <v>4089</v>
      </c>
      <c r="K82" s="81">
        <v>3.3748825E7</v>
      </c>
      <c r="L82" s="84">
        <v>45700.0</v>
      </c>
      <c r="M82" s="85">
        <v>6238050.0</v>
      </c>
    </row>
    <row r="83">
      <c r="A83" s="77">
        <v>82.0</v>
      </c>
      <c r="B83" s="78" t="s">
        <v>3915</v>
      </c>
      <c r="C83" s="79">
        <v>2.0251300010223E13</v>
      </c>
      <c r="D83" s="78" t="s">
        <v>4090</v>
      </c>
      <c r="E83" s="78" t="s">
        <v>501</v>
      </c>
      <c r="F83" s="80">
        <v>45694.0</v>
      </c>
      <c r="G83" s="78" t="s">
        <v>502</v>
      </c>
      <c r="H83" s="81" t="s">
        <v>3917</v>
      </c>
      <c r="I83" s="82">
        <v>1.070954996E9</v>
      </c>
      <c r="J83" s="83" t="s">
        <v>4091</v>
      </c>
      <c r="K83" s="81">
        <v>3.9636425E7</v>
      </c>
      <c r="L83" s="84">
        <v>45706.0</v>
      </c>
      <c r="M83" s="85">
        <v>1680000.0</v>
      </c>
    </row>
    <row r="84">
      <c r="A84" s="77">
        <v>83.0</v>
      </c>
      <c r="B84" s="78" t="s">
        <v>3915</v>
      </c>
      <c r="C84" s="79">
        <v>2.0251020010233E13</v>
      </c>
      <c r="D84" s="78" t="s">
        <v>4092</v>
      </c>
      <c r="E84" s="78" t="s">
        <v>171</v>
      </c>
      <c r="F84" s="80">
        <v>45694.0</v>
      </c>
      <c r="G84" s="78" t="s">
        <v>172</v>
      </c>
      <c r="H84" s="81" t="s">
        <v>3917</v>
      </c>
      <c r="I84" s="82">
        <v>1.014288171E9</v>
      </c>
      <c r="J84" s="83" t="s">
        <v>4093</v>
      </c>
      <c r="K84" s="81">
        <v>3.7473625E7</v>
      </c>
      <c r="L84" s="84">
        <v>45705.0</v>
      </c>
      <c r="M84" s="85">
        <v>6300000.0</v>
      </c>
    </row>
    <row r="85">
      <c r="A85" s="77">
        <v>84.0</v>
      </c>
      <c r="B85" s="78" t="s">
        <v>3915</v>
      </c>
      <c r="C85" s="79">
        <v>2.0251020010243E13</v>
      </c>
      <c r="D85" s="78" t="s">
        <v>4094</v>
      </c>
      <c r="E85" s="78" t="s">
        <v>542</v>
      </c>
      <c r="F85" s="80">
        <v>45694.0</v>
      </c>
      <c r="G85" s="78" t="s">
        <v>4095</v>
      </c>
      <c r="H85" s="81" t="s">
        <v>3917</v>
      </c>
      <c r="I85" s="82">
        <v>1.026299983E9</v>
      </c>
      <c r="J85" s="83" t="s">
        <v>4096</v>
      </c>
      <c r="K85" s="81">
        <v>3.7475625E7</v>
      </c>
      <c r="L85" s="84">
        <v>45705.0</v>
      </c>
      <c r="M85" s="85">
        <v>1543500.0</v>
      </c>
    </row>
    <row r="86">
      <c r="A86" s="77">
        <v>85.0</v>
      </c>
      <c r="B86" s="78" t="s">
        <v>3915</v>
      </c>
      <c r="C86" s="79">
        <v>2.0251020010263E13</v>
      </c>
      <c r="D86" s="78" t="s">
        <v>4097</v>
      </c>
      <c r="E86" s="78" t="s">
        <v>2764</v>
      </c>
      <c r="F86" s="80">
        <v>45694.0</v>
      </c>
      <c r="G86" s="78" t="s">
        <v>603</v>
      </c>
      <c r="H86" s="81" t="s">
        <v>3917</v>
      </c>
      <c r="I86" s="82">
        <v>1.095809712E9</v>
      </c>
      <c r="J86" s="83" t="s">
        <v>4098</v>
      </c>
      <c r="K86" s="81">
        <v>3.7479925E7</v>
      </c>
      <c r="L86" s="84">
        <v>45705.0</v>
      </c>
      <c r="M86" s="85">
        <v>603333.0</v>
      </c>
    </row>
    <row r="87">
      <c r="A87" s="77">
        <v>86.0</v>
      </c>
      <c r="B87" s="78" t="s">
        <v>3915</v>
      </c>
      <c r="C87" s="79">
        <v>2.0251020010333E13</v>
      </c>
      <c r="D87" s="78" t="s">
        <v>4099</v>
      </c>
      <c r="E87" s="78" t="s">
        <v>2619</v>
      </c>
      <c r="F87" s="80">
        <v>45694.0</v>
      </c>
      <c r="G87" s="78" t="s">
        <v>1655</v>
      </c>
      <c r="H87" s="81" t="s">
        <v>3917</v>
      </c>
      <c r="I87" s="82">
        <v>5.2734728E7</v>
      </c>
      <c r="J87" s="83" t="s">
        <v>4100</v>
      </c>
      <c r="K87" s="81">
        <v>3.2342325E7</v>
      </c>
      <c r="L87" s="84">
        <v>45699.0</v>
      </c>
      <c r="M87" s="85">
        <v>1099817.0</v>
      </c>
    </row>
    <row r="88">
      <c r="A88" s="77">
        <v>87.0</v>
      </c>
      <c r="B88" s="78" t="s">
        <v>3915</v>
      </c>
      <c r="C88" s="79">
        <v>2.0251610010253E13</v>
      </c>
      <c r="D88" s="78" t="s">
        <v>4101</v>
      </c>
      <c r="E88" s="78" t="s">
        <v>290</v>
      </c>
      <c r="F88" s="80">
        <v>45694.0</v>
      </c>
      <c r="G88" s="78" t="s">
        <v>291</v>
      </c>
      <c r="H88" s="81" t="s">
        <v>3917</v>
      </c>
      <c r="I88" s="82">
        <v>1.014183131E9</v>
      </c>
      <c r="J88" s="83" t="s">
        <v>4102</v>
      </c>
      <c r="K88" s="81">
        <v>3.7466825E7</v>
      </c>
      <c r="L88" s="84">
        <v>45705.0</v>
      </c>
      <c r="M88" s="85">
        <v>4235840.0</v>
      </c>
    </row>
    <row r="89">
      <c r="A89" s="77">
        <v>88.0</v>
      </c>
      <c r="B89" s="78" t="s">
        <v>3915</v>
      </c>
      <c r="C89" s="79">
        <v>2.0251000010383E13</v>
      </c>
      <c r="D89" s="78" t="s">
        <v>4103</v>
      </c>
      <c r="E89" s="78" t="s">
        <v>114</v>
      </c>
      <c r="F89" s="80">
        <v>45695.0</v>
      </c>
      <c r="G89" s="78" t="s">
        <v>115</v>
      </c>
      <c r="H89" s="81" t="s">
        <v>3917</v>
      </c>
      <c r="I89" s="82">
        <v>5.235846E7</v>
      </c>
      <c r="J89" s="83" t="s">
        <v>4104</v>
      </c>
      <c r="K89" s="81">
        <v>3.3738125E7</v>
      </c>
      <c r="L89" s="84">
        <v>45700.0</v>
      </c>
      <c r="M89" s="85">
        <v>5600000.0</v>
      </c>
    </row>
    <row r="90">
      <c r="A90" s="77">
        <v>89.0</v>
      </c>
      <c r="B90" s="78" t="s">
        <v>3915</v>
      </c>
      <c r="C90" s="79">
        <v>2.0251020010403E13</v>
      </c>
      <c r="D90" s="78" t="s">
        <v>4105</v>
      </c>
      <c r="E90" s="78" t="s">
        <v>2797</v>
      </c>
      <c r="F90" s="80">
        <v>45695.0</v>
      </c>
      <c r="G90" s="78" t="s">
        <v>626</v>
      </c>
      <c r="H90" s="81" t="s">
        <v>3917</v>
      </c>
      <c r="I90" s="82">
        <v>1.032460931E9</v>
      </c>
      <c r="J90" s="83" t="s">
        <v>4106</v>
      </c>
      <c r="K90" s="81">
        <v>3.9639425E7</v>
      </c>
      <c r="L90" s="84">
        <v>45706.0</v>
      </c>
      <c r="M90" s="85">
        <v>416190.0</v>
      </c>
    </row>
    <row r="91">
      <c r="A91" s="77">
        <v>90.0</v>
      </c>
      <c r="B91" s="78" t="s">
        <v>3915</v>
      </c>
      <c r="C91" s="79">
        <v>2.0251700010423E13</v>
      </c>
      <c r="D91" s="78" t="s">
        <v>4107</v>
      </c>
      <c r="E91" s="78" t="s">
        <v>148</v>
      </c>
      <c r="F91" s="80">
        <v>45695.0</v>
      </c>
      <c r="G91" s="78" t="s">
        <v>149</v>
      </c>
      <c r="H91" s="81" t="s">
        <v>3917</v>
      </c>
      <c r="I91" s="82">
        <v>1.033684312E9</v>
      </c>
      <c r="J91" s="83" t="s">
        <v>4108</v>
      </c>
      <c r="K91" s="81">
        <v>3.1475725E7</v>
      </c>
      <c r="L91" s="84">
        <v>45698.0</v>
      </c>
      <c r="M91" s="85">
        <v>5398470.0</v>
      </c>
    </row>
    <row r="92">
      <c r="A92" s="77">
        <v>91.0</v>
      </c>
      <c r="B92" s="78" t="s">
        <v>3915</v>
      </c>
      <c r="C92" s="79">
        <v>2.0251300010433E13</v>
      </c>
      <c r="D92" s="78" t="s">
        <v>4109</v>
      </c>
      <c r="E92" s="78" t="s">
        <v>439</v>
      </c>
      <c r="F92" s="80">
        <v>45695.0</v>
      </c>
      <c r="G92" s="78" t="s">
        <v>440</v>
      </c>
      <c r="H92" s="81" t="s">
        <v>3917</v>
      </c>
      <c r="I92" s="82">
        <v>5.2354579E7</v>
      </c>
      <c r="J92" s="83" t="s">
        <v>4110</v>
      </c>
      <c r="K92" s="81">
        <v>3.1459125E7</v>
      </c>
      <c r="L92" s="84">
        <v>45698.0</v>
      </c>
      <c r="M92" s="85">
        <v>1650000.0</v>
      </c>
    </row>
    <row r="93">
      <c r="A93" s="77">
        <v>92.0</v>
      </c>
      <c r="B93" s="78" t="s">
        <v>3915</v>
      </c>
      <c r="C93" s="79">
        <v>2.0251000010443E13</v>
      </c>
      <c r="D93" s="78" t="s">
        <v>4111</v>
      </c>
      <c r="E93" s="78" t="s">
        <v>4112</v>
      </c>
      <c r="F93" s="80">
        <v>45695.0</v>
      </c>
      <c r="G93" s="78" t="s">
        <v>4113</v>
      </c>
      <c r="H93" s="81" t="s">
        <v>3917</v>
      </c>
      <c r="I93" s="82">
        <v>1.019065837E9</v>
      </c>
      <c r="J93" s="83" t="s">
        <v>4114</v>
      </c>
      <c r="K93" s="81">
        <v>3.1471525E7</v>
      </c>
      <c r="L93" s="84">
        <v>45698.0</v>
      </c>
      <c r="M93" s="85">
        <v>1166666.67</v>
      </c>
    </row>
    <row r="94">
      <c r="A94" s="77">
        <v>93.0</v>
      </c>
      <c r="B94" s="78" t="s">
        <v>3915</v>
      </c>
      <c r="C94" s="79">
        <v>2.0251000010453E13</v>
      </c>
      <c r="D94" s="78" t="s">
        <v>4115</v>
      </c>
      <c r="E94" s="78" t="s">
        <v>406</v>
      </c>
      <c r="F94" s="80">
        <v>45695.0</v>
      </c>
      <c r="G94" s="78" t="s">
        <v>407</v>
      </c>
      <c r="H94" s="81" t="s">
        <v>3917</v>
      </c>
      <c r="I94" s="82">
        <v>1.032504965E9</v>
      </c>
      <c r="J94" s="83" t="s">
        <v>4116</v>
      </c>
      <c r="K94" s="81">
        <v>3.1472125E7</v>
      </c>
      <c r="L94" s="84">
        <v>45698.0</v>
      </c>
      <c r="M94" s="85">
        <v>1972740.0</v>
      </c>
    </row>
    <row r="95">
      <c r="A95" s="77">
        <v>94.0</v>
      </c>
      <c r="B95" s="78" t="s">
        <v>3915</v>
      </c>
      <c r="C95" s="79">
        <v>2.0251000010513E13</v>
      </c>
      <c r="D95" s="78" t="s">
        <v>4117</v>
      </c>
      <c r="E95" s="78" t="s">
        <v>94</v>
      </c>
      <c r="F95" s="80">
        <v>45695.0</v>
      </c>
      <c r="G95" s="78" t="s">
        <v>95</v>
      </c>
      <c r="H95" s="81" t="s">
        <v>3917</v>
      </c>
      <c r="I95" s="82">
        <v>1.085276539E9</v>
      </c>
      <c r="J95" s="83" t="s">
        <v>4118</v>
      </c>
      <c r="K95" s="81">
        <v>3.1473125E7</v>
      </c>
      <c r="L95" s="84">
        <v>45698.0</v>
      </c>
      <c r="M95" s="85">
        <v>8400000.0</v>
      </c>
    </row>
    <row r="96">
      <c r="A96" s="77">
        <v>95.0</v>
      </c>
      <c r="B96" s="78" t="s">
        <v>3915</v>
      </c>
      <c r="C96" s="79">
        <v>2.0251000010543E13</v>
      </c>
      <c r="D96" s="78" t="s">
        <v>4119</v>
      </c>
      <c r="E96" s="78" t="s">
        <v>2783</v>
      </c>
      <c r="F96" s="80">
        <v>45695.0</v>
      </c>
      <c r="G96" s="78" t="s">
        <v>616</v>
      </c>
      <c r="H96" s="81" t="s">
        <v>3917</v>
      </c>
      <c r="I96" s="82">
        <v>1.010101135E9</v>
      </c>
      <c r="J96" s="83" t="s">
        <v>4120</v>
      </c>
      <c r="K96" s="81">
        <v>3.1472625E7</v>
      </c>
      <c r="L96" s="84">
        <v>45698.0</v>
      </c>
      <c r="M96" s="85">
        <v>515900.0</v>
      </c>
    </row>
    <row r="97">
      <c r="A97" s="77">
        <v>96.0</v>
      </c>
      <c r="B97" s="78" t="s">
        <v>3915</v>
      </c>
      <c r="C97" s="79">
        <v>2.0251900010483E13</v>
      </c>
      <c r="D97" s="78" t="s">
        <v>4121</v>
      </c>
      <c r="E97" s="78" t="s">
        <v>2791</v>
      </c>
      <c r="F97" s="80">
        <v>45695.0</v>
      </c>
      <c r="G97" s="78" t="s">
        <v>621</v>
      </c>
      <c r="H97" s="81" t="s">
        <v>3917</v>
      </c>
      <c r="I97" s="82">
        <v>1.096217701E9</v>
      </c>
      <c r="J97" s="83" t="s">
        <v>4122</v>
      </c>
      <c r="K97" s="81">
        <v>3.1476325E7</v>
      </c>
      <c r="L97" s="84">
        <v>45698.0</v>
      </c>
      <c r="M97" s="85">
        <v>450000.0</v>
      </c>
    </row>
    <row r="98">
      <c r="A98" s="77">
        <v>97.0</v>
      </c>
      <c r="B98" s="78" t="s">
        <v>3915</v>
      </c>
      <c r="C98" s="79">
        <v>2.0251300010323E13</v>
      </c>
      <c r="D98" s="78" t="s">
        <v>4123</v>
      </c>
      <c r="E98" s="78" t="s">
        <v>4124</v>
      </c>
      <c r="F98" s="80">
        <v>45695.0</v>
      </c>
      <c r="G98" s="78" t="s">
        <v>590</v>
      </c>
      <c r="H98" s="81" t="s">
        <v>3917</v>
      </c>
      <c r="I98" s="82">
        <v>8.0797794E7</v>
      </c>
      <c r="J98" s="83" t="s">
        <v>4125</v>
      </c>
      <c r="K98" s="81">
        <v>3.2335625E7</v>
      </c>
      <c r="L98" s="84">
        <v>45699.0</v>
      </c>
      <c r="M98" s="85">
        <v>800000.0</v>
      </c>
    </row>
    <row r="99">
      <c r="A99" s="77">
        <v>98.0</v>
      </c>
      <c r="B99" s="78" t="s">
        <v>3915</v>
      </c>
      <c r="C99" s="79">
        <v>2.0251110010503E13</v>
      </c>
      <c r="D99" s="78" t="s">
        <v>4126</v>
      </c>
      <c r="E99" s="78" t="s">
        <v>264</v>
      </c>
      <c r="F99" s="80">
        <v>45695.0</v>
      </c>
      <c r="G99" s="78" t="s">
        <v>265</v>
      </c>
      <c r="H99" s="81" t="s">
        <v>4127</v>
      </c>
      <c r="I99" s="82">
        <v>9.00196555E8</v>
      </c>
      <c r="J99" s="83" t="s">
        <v>4128</v>
      </c>
      <c r="K99" s="81">
        <v>3.2352525E7</v>
      </c>
      <c r="L99" s="84">
        <v>45699.0</v>
      </c>
      <c r="M99" s="85">
        <v>1623989.43</v>
      </c>
    </row>
    <row r="100">
      <c r="A100" s="77">
        <v>99.0</v>
      </c>
      <c r="B100" s="78" t="s">
        <v>3915</v>
      </c>
      <c r="C100" s="79">
        <v>2.0251800010573E13</v>
      </c>
      <c r="D100" s="78" t="s">
        <v>4129</v>
      </c>
      <c r="E100" s="78" t="s">
        <v>4130</v>
      </c>
      <c r="F100" s="80">
        <v>45698.0</v>
      </c>
      <c r="G100" s="78" t="s">
        <v>1651</v>
      </c>
      <c r="H100" s="81" t="s">
        <v>3917</v>
      </c>
      <c r="I100" s="82">
        <v>7.4130577E7</v>
      </c>
      <c r="J100" s="83" t="s">
        <v>4131</v>
      </c>
      <c r="K100" s="81">
        <v>3.3979525E7</v>
      </c>
      <c r="L100" s="84">
        <v>45700.0</v>
      </c>
      <c r="M100" s="85">
        <v>2856333.0</v>
      </c>
    </row>
    <row r="101">
      <c r="A101" s="77">
        <v>100.0</v>
      </c>
      <c r="B101" s="78" t="s">
        <v>3915</v>
      </c>
      <c r="C101" s="79">
        <v>2.0251110010623E13</v>
      </c>
      <c r="D101" s="78" t="s">
        <v>4132</v>
      </c>
      <c r="E101" s="78" t="s">
        <v>519</v>
      </c>
      <c r="F101" s="80">
        <v>45698.0</v>
      </c>
      <c r="G101" s="78" t="s">
        <v>521</v>
      </c>
      <c r="H101" s="81" t="s">
        <v>3917</v>
      </c>
      <c r="I101" s="82">
        <v>5.3082812E7</v>
      </c>
      <c r="J101" s="83" t="s">
        <v>4133</v>
      </c>
      <c r="K101" s="81">
        <v>3.2333525E7</v>
      </c>
      <c r="L101" s="84">
        <v>45699.0</v>
      </c>
      <c r="M101" s="85">
        <v>1200000.0</v>
      </c>
    </row>
    <row r="102">
      <c r="A102" s="77">
        <v>101.0</v>
      </c>
      <c r="B102" s="78" t="s">
        <v>3915</v>
      </c>
      <c r="C102" s="79">
        <v>2.0251700010013E13</v>
      </c>
      <c r="D102" s="78" t="s">
        <v>4134</v>
      </c>
      <c r="E102" s="78" t="s">
        <v>385</v>
      </c>
      <c r="F102" s="80">
        <v>45698.0</v>
      </c>
      <c r="G102" s="78" t="s">
        <v>386</v>
      </c>
      <c r="H102" s="81" t="s">
        <v>3917</v>
      </c>
      <c r="I102" s="82">
        <v>1.018487193E9</v>
      </c>
      <c r="J102" s="83" t="s">
        <v>4135</v>
      </c>
      <c r="K102" s="81">
        <v>3.2344225E7</v>
      </c>
      <c r="L102" s="84">
        <v>45699.0</v>
      </c>
      <c r="M102" s="85">
        <v>4861780.0</v>
      </c>
    </row>
    <row r="103">
      <c r="A103" s="77">
        <v>102.0</v>
      </c>
      <c r="B103" s="78" t="s">
        <v>3915</v>
      </c>
      <c r="C103" s="79">
        <v>2.0251000010583E13</v>
      </c>
      <c r="D103" s="78" t="s">
        <v>4136</v>
      </c>
      <c r="E103" s="78" t="s">
        <v>4137</v>
      </c>
      <c r="F103" s="80">
        <v>45698.0</v>
      </c>
      <c r="G103" s="78" t="s">
        <v>578</v>
      </c>
      <c r="H103" s="81" t="s">
        <v>3917</v>
      </c>
      <c r="I103" s="82">
        <v>1.085897401E9</v>
      </c>
      <c r="J103" s="83" t="s">
        <v>4138</v>
      </c>
      <c r="K103" s="81">
        <v>3.1477625E7</v>
      </c>
      <c r="L103" s="84">
        <v>45699.0</v>
      </c>
      <c r="M103" s="85">
        <v>1680000.0</v>
      </c>
    </row>
    <row r="104">
      <c r="A104" s="77">
        <v>103.0</v>
      </c>
      <c r="B104" s="78" t="s">
        <v>3915</v>
      </c>
      <c r="C104" s="79">
        <v>2.0251000010593E13</v>
      </c>
      <c r="D104" s="78" t="s">
        <v>4139</v>
      </c>
      <c r="E104" s="78" t="s">
        <v>2836</v>
      </c>
      <c r="F104" s="80">
        <v>45698.0</v>
      </c>
      <c r="G104" s="78" t="s">
        <v>654</v>
      </c>
      <c r="H104" s="81" t="s">
        <v>3917</v>
      </c>
      <c r="I104" s="82">
        <v>1.01428721E9</v>
      </c>
      <c r="J104" s="83" t="s">
        <v>4140</v>
      </c>
      <c r="K104" s="81">
        <v>3.9270325E7</v>
      </c>
      <c r="L104" s="84">
        <v>45706.0</v>
      </c>
      <c r="M104" s="85">
        <v>701600.0</v>
      </c>
    </row>
    <row r="105">
      <c r="A105" s="77">
        <v>104.0</v>
      </c>
      <c r="B105" s="78" t="s">
        <v>3915</v>
      </c>
      <c r="C105" s="79">
        <v>2.0251100010723E13</v>
      </c>
      <c r="D105" s="78" t="s">
        <v>4141</v>
      </c>
      <c r="E105" s="78" t="s">
        <v>135</v>
      </c>
      <c r="F105" s="80">
        <v>45698.0</v>
      </c>
      <c r="G105" s="78" t="s">
        <v>136</v>
      </c>
      <c r="H105" s="81" t="s">
        <v>3917</v>
      </c>
      <c r="I105" s="82">
        <v>1.022380851E9</v>
      </c>
      <c r="J105" s="83" t="s">
        <v>4142</v>
      </c>
      <c r="K105" s="81">
        <v>3.2363925E7</v>
      </c>
      <c r="L105" s="84">
        <v>45698.0</v>
      </c>
      <c r="M105" s="85">
        <v>5950000.0</v>
      </c>
    </row>
    <row r="106">
      <c r="A106" s="77">
        <v>105.0</v>
      </c>
      <c r="B106" s="78" t="s">
        <v>3915</v>
      </c>
      <c r="C106" s="79">
        <v>2.0251000010743E13</v>
      </c>
      <c r="D106" s="78" t="s">
        <v>4143</v>
      </c>
      <c r="E106" s="78" t="s">
        <v>338</v>
      </c>
      <c r="F106" s="80">
        <v>45698.0</v>
      </c>
      <c r="G106" s="78" t="s">
        <v>339</v>
      </c>
      <c r="H106" s="81" t="s">
        <v>3917</v>
      </c>
      <c r="I106" s="82">
        <v>1.136879313E9</v>
      </c>
      <c r="J106" s="83" t="s">
        <v>4144</v>
      </c>
      <c r="K106" s="81">
        <v>3.3735325E7</v>
      </c>
      <c r="L106" s="84">
        <v>45700.0</v>
      </c>
      <c r="M106" s="85">
        <v>3600000.0</v>
      </c>
    </row>
    <row r="107">
      <c r="A107" s="77">
        <v>106.0</v>
      </c>
      <c r="B107" s="78" t="s">
        <v>3915</v>
      </c>
      <c r="C107" s="79">
        <v>2.0251000010613E13</v>
      </c>
      <c r="D107" s="78" t="s">
        <v>4145</v>
      </c>
      <c r="E107" s="78" t="s">
        <v>370</v>
      </c>
      <c r="F107" s="80">
        <v>45698.0</v>
      </c>
      <c r="G107" s="78" t="s">
        <v>371</v>
      </c>
      <c r="H107" s="81" t="s">
        <v>3917</v>
      </c>
      <c r="I107" s="82">
        <v>1.020752782E9</v>
      </c>
      <c r="J107" s="83" t="s">
        <v>4146</v>
      </c>
      <c r="K107" s="81">
        <v>3.2355625E7</v>
      </c>
      <c r="L107" s="84">
        <v>45699.0</v>
      </c>
      <c r="M107" s="85">
        <v>3500000.0</v>
      </c>
    </row>
    <row r="108">
      <c r="A108" s="77">
        <v>107.0</v>
      </c>
      <c r="B108" s="78" t="s">
        <v>3915</v>
      </c>
      <c r="C108" s="79">
        <v>2.0251300010763E13</v>
      </c>
      <c r="D108" s="78" t="s">
        <v>4147</v>
      </c>
      <c r="E108" s="78" t="s">
        <v>2860</v>
      </c>
      <c r="F108" s="80">
        <v>45698.0</v>
      </c>
      <c r="G108" s="78" t="s">
        <v>669</v>
      </c>
      <c r="H108" s="81" t="s">
        <v>3917</v>
      </c>
      <c r="I108" s="82">
        <v>7.9972544E7</v>
      </c>
      <c r="J108" s="83" t="s">
        <v>4148</v>
      </c>
      <c r="K108" s="81">
        <v>3.8279925E7</v>
      </c>
      <c r="L108" s="84">
        <v>45705.0</v>
      </c>
      <c r="M108" s="85">
        <v>486000.0</v>
      </c>
    </row>
    <row r="109">
      <c r="A109" s="77">
        <v>108.0</v>
      </c>
      <c r="B109" s="78" t="s">
        <v>3915</v>
      </c>
      <c r="C109" s="79">
        <v>2.0251000010603E13</v>
      </c>
      <c r="D109" s="78" t="s">
        <v>4149</v>
      </c>
      <c r="E109" s="78" t="s">
        <v>2866</v>
      </c>
      <c r="F109" s="80">
        <v>45698.0</v>
      </c>
      <c r="G109" s="78" t="s">
        <v>674</v>
      </c>
      <c r="H109" s="81" t="s">
        <v>3917</v>
      </c>
      <c r="I109" s="82">
        <v>1.020751785E9</v>
      </c>
      <c r="J109" s="83" t="s">
        <v>4150</v>
      </c>
      <c r="K109" s="81">
        <v>3.3737625E7</v>
      </c>
      <c r="L109" s="84">
        <v>45700.0</v>
      </c>
      <c r="M109" s="85">
        <v>400000.0</v>
      </c>
    </row>
    <row r="110">
      <c r="A110" s="77">
        <v>109.0</v>
      </c>
      <c r="B110" s="78" t="s">
        <v>3915</v>
      </c>
      <c r="C110" s="79">
        <v>2.0251020010883E13</v>
      </c>
      <c r="D110" s="78" t="s">
        <v>4151</v>
      </c>
      <c r="E110" s="78" t="s">
        <v>324</v>
      </c>
      <c r="F110" s="80">
        <v>45699.0</v>
      </c>
      <c r="G110" s="78" t="s">
        <v>325</v>
      </c>
      <c r="H110" s="81" t="s">
        <v>3917</v>
      </c>
      <c r="I110" s="82">
        <v>1.152693194E9</v>
      </c>
      <c r="J110" s="83" t="s">
        <v>4152</v>
      </c>
      <c r="K110" s="81">
        <v>3.9273125E7</v>
      </c>
      <c r="L110" s="84">
        <v>45706.0</v>
      </c>
      <c r="M110" s="85">
        <v>2666666.0</v>
      </c>
    </row>
    <row r="111">
      <c r="A111" s="77">
        <v>110.0</v>
      </c>
      <c r="B111" s="78" t="s">
        <v>3915</v>
      </c>
      <c r="C111" s="79">
        <v>2.0251140010973E13</v>
      </c>
      <c r="D111" s="78" t="s">
        <v>4153</v>
      </c>
      <c r="E111" s="78" t="s">
        <v>31</v>
      </c>
      <c r="F111" s="80">
        <v>45700.0</v>
      </c>
      <c r="G111" s="78" t="s">
        <v>34</v>
      </c>
      <c r="H111" s="81" t="s">
        <v>3917</v>
      </c>
      <c r="I111" s="82">
        <v>5.2369571E7</v>
      </c>
      <c r="J111" s="83" t="s">
        <v>4154</v>
      </c>
      <c r="K111" s="81">
        <v>4.3220925E7</v>
      </c>
      <c r="L111" s="84">
        <v>45709.0</v>
      </c>
      <c r="M111" s="85">
        <v>6812878.0</v>
      </c>
    </row>
    <row r="112">
      <c r="A112" s="77">
        <v>111.0</v>
      </c>
      <c r="B112" s="78" t="s">
        <v>3915</v>
      </c>
      <c r="C112" s="79">
        <v>2.0251100011043E13</v>
      </c>
      <c r="D112" s="78" t="s">
        <v>4155</v>
      </c>
      <c r="E112" s="78" t="s">
        <v>395</v>
      </c>
      <c r="F112" s="80">
        <v>45700.0</v>
      </c>
      <c r="G112" s="78" t="s">
        <v>396</v>
      </c>
      <c r="H112" s="81" t="s">
        <v>3917</v>
      </c>
      <c r="I112" s="82">
        <v>1.013590021E9</v>
      </c>
      <c r="J112" s="83" t="s">
        <v>4156</v>
      </c>
      <c r="K112" s="81">
        <v>3.3979925E7</v>
      </c>
      <c r="L112" s="84">
        <v>45700.0</v>
      </c>
      <c r="M112" s="85">
        <v>3953623.0</v>
      </c>
    </row>
    <row r="113">
      <c r="A113" s="77">
        <v>112.0</v>
      </c>
      <c r="B113" s="78" t="s">
        <v>3915</v>
      </c>
      <c r="C113" s="79">
        <v>2.0251800016691E13</v>
      </c>
      <c r="D113" s="78" t="s">
        <v>4157</v>
      </c>
      <c r="E113" s="78" t="s">
        <v>510</v>
      </c>
      <c r="F113" s="80">
        <v>45701.0</v>
      </c>
      <c r="G113" s="78" t="s">
        <v>511</v>
      </c>
      <c r="H113" s="81" t="s">
        <v>3917</v>
      </c>
      <c r="I113" s="82">
        <v>1.3456486E7</v>
      </c>
      <c r="J113" s="83" t="s">
        <v>4158</v>
      </c>
      <c r="K113" s="81">
        <v>3.4625925E7</v>
      </c>
      <c r="L113" s="84">
        <v>45701.0</v>
      </c>
      <c r="M113" s="85">
        <v>2115333.0</v>
      </c>
    </row>
    <row r="114">
      <c r="A114" s="77">
        <v>113.0</v>
      </c>
      <c r="B114" s="78" t="s">
        <v>3915</v>
      </c>
      <c r="C114" s="79">
        <v>2.0251020011273E13</v>
      </c>
      <c r="D114" s="78" t="s">
        <v>4159</v>
      </c>
      <c r="E114" s="78" t="s">
        <v>2770</v>
      </c>
      <c r="F114" s="80">
        <v>45702.0</v>
      </c>
      <c r="G114" s="78" t="s">
        <v>609</v>
      </c>
      <c r="H114" s="81" t="s">
        <v>3917</v>
      </c>
      <c r="I114" s="82">
        <v>1.233490485E9</v>
      </c>
      <c r="J114" s="83" t="s">
        <v>4160</v>
      </c>
      <c r="K114" s="81">
        <v>4.3219225E7</v>
      </c>
      <c r="L114" s="84">
        <v>45709.0</v>
      </c>
      <c r="M114" s="85">
        <v>333333.0</v>
      </c>
    </row>
    <row r="115">
      <c r="A115" s="77">
        <v>114.0</v>
      </c>
      <c r="B115" s="78" t="s">
        <v>3915</v>
      </c>
      <c r="C115" s="79">
        <v>2.0251700011353E13</v>
      </c>
      <c r="D115" s="78" t="s">
        <v>4161</v>
      </c>
      <c r="E115" s="78" t="s">
        <v>2724</v>
      </c>
      <c r="F115" s="80">
        <v>45702.0</v>
      </c>
      <c r="G115" s="78" t="s">
        <v>573</v>
      </c>
      <c r="H115" s="81" t="s">
        <v>3917</v>
      </c>
      <c r="I115" s="82">
        <v>1.015393939E9</v>
      </c>
      <c r="J115" s="83" t="s">
        <v>4162</v>
      </c>
      <c r="K115" s="81">
        <v>3.9723825E7</v>
      </c>
      <c r="L115" s="84">
        <v>45706.0</v>
      </c>
      <c r="M115" s="85">
        <v>1389080.0</v>
      </c>
    </row>
    <row r="116">
      <c r="A116" s="77">
        <v>115.0</v>
      </c>
      <c r="B116" s="78" t="s">
        <v>3915</v>
      </c>
      <c r="C116" s="79">
        <v>2.0251900011463E13</v>
      </c>
      <c r="D116" s="78" t="s">
        <v>4163</v>
      </c>
      <c r="E116" s="78" t="s">
        <v>243</v>
      </c>
      <c r="F116" s="80">
        <v>45702.0</v>
      </c>
      <c r="G116" s="78" t="s">
        <v>244</v>
      </c>
      <c r="H116" s="81" t="s">
        <v>3917</v>
      </c>
      <c r="I116" s="82">
        <v>2.8061081E7</v>
      </c>
      <c r="J116" s="83" t="s">
        <v>4164</v>
      </c>
      <c r="K116" s="81">
        <v>3.9693525E7</v>
      </c>
      <c r="L116" s="84">
        <v>45706.0</v>
      </c>
      <c r="M116" s="85">
        <v>7218812.0</v>
      </c>
    </row>
    <row r="117">
      <c r="A117" s="77">
        <v>116.0</v>
      </c>
      <c r="B117" s="78" t="s">
        <v>3915</v>
      </c>
      <c r="C117" s="79">
        <v>2.0251110011713E13</v>
      </c>
      <c r="D117" s="78" t="s">
        <v>4165</v>
      </c>
      <c r="E117" s="78" t="s">
        <v>79</v>
      </c>
      <c r="F117" s="80">
        <v>45705.0</v>
      </c>
      <c r="G117" s="79">
        <v>140719.0</v>
      </c>
      <c r="H117" s="81" t="s">
        <v>4127</v>
      </c>
      <c r="I117" s="82">
        <v>8.11009788E8</v>
      </c>
      <c r="J117" s="83" t="s">
        <v>4166</v>
      </c>
      <c r="K117" s="81">
        <v>4.5303425E7</v>
      </c>
      <c r="L117" s="84">
        <v>45712.0</v>
      </c>
      <c r="M117" s="85">
        <v>362532.36</v>
      </c>
    </row>
    <row r="118">
      <c r="A118" s="77">
        <v>117.0</v>
      </c>
      <c r="B118" s="78" t="s">
        <v>3915</v>
      </c>
      <c r="C118" s="79">
        <v>2.0251900011733E13</v>
      </c>
      <c r="D118" s="78" t="s">
        <v>4167</v>
      </c>
      <c r="E118" s="78" t="s">
        <v>567</v>
      </c>
      <c r="F118" s="80">
        <v>45705.0</v>
      </c>
      <c r="G118" s="78" t="s">
        <v>568</v>
      </c>
      <c r="H118" s="81" t="s">
        <v>3917</v>
      </c>
      <c r="I118" s="82">
        <v>7.9434157E7</v>
      </c>
      <c r="J118" s="83" t="s">
        <v>4168</v>
      </c>
      <c r="K118" s="81">
        <v>3.9609725E7</v>
      </c>
      <c r="L118" s="84">
        <v>45706.0</v>
      </c>
      <c r="M118" s="85">
        <v>933333.0</v>
      </c>
    </row>
    <row r="119">
      <c r="A119" s="77">
        <v>118.0</v>
      </c>
      <c r="B119" s="78" t="s">
        <v>3915</v>
      </c>
      <c r="C119" s="79">
        <v>2.0251110011743E13</v>
      </c>
      <c r="D119" s="78" t="s">
        <v>4169</v>
      </c>
      <c r="E119" s="78" t="s">
        <v>2598</v>
      </c>
      <c r="F119" s="80">
        <v>45705.0</v>
      </c>
      <c r="G119" s="78" t="s">
        <v>645</v>
      </c>
      <c r="H119" s="81" t="s">
        <v>4127</v>
      </c>
      <c r="I119" s="82">
        <v>9.01244985E8</v>
      </c>
      <c r="J119" s="83" t="s">
        <v>4170</v>
      </c>
      <c r="K119" s="81">
        <v>4.5324325E7</v>
      </c>
      <c r="L119" s="84">
        <v>45712.0</v>
      </c>
      <c r="M119" s="85">
        <v>1.0486362E7</v>
      </c>
    </row>
    <row r="120">
      <c r="A120" s="77">
        <v>119.0</v>
      </c>
      <c r="B120" s="78" t="s">
        <v>3915</v>
      </c>
      <c r="C120" s="79">
        <v>2.0251800012013E13</v>
      </c>
      <c r="D120" s="78" t="s">
        <v>4171</v>
      </c>
      <c r="E120" s="78" t="s">
        <v>538</v>
      </c>
      <c r="F120" s="80">
        <v>45706.0</v>
      </c>
      <c r="G120" s="78" t="s">
        <v>1678</v>
      </c>
      <c r="H120" s="81" t="s">
        <v>3917</v>
      </c>
      <c r="I120" s="82">
        <v>8.7949267E7</v>
      </c>
      <c r="J120" s="83" t="s">
        <v>4172</v>
      </c>
      <c r="K120" s="81">
        <v>4.3802325E7</v>
      </c>
      <c r="L120" s="84">
        <v>45709.0</v>
      </c>
      <c r="M120" s="85">
        <v>1073600.0</v>
      </c>
    </row>
    <row r="121">
      <c r="A121" s="77">
        <v>120.0</v>
      </c>
      <c r="B121" s="78" t="s">
        <v>3915</v>
      </c>
      <c r="C121" s="79">
        <v>2.0251020012173E13</v>
      </c>
      <c r="D121" s="78" t="s">
        <v>4173</v>
      </c>
      <c r="E121" s="78" t="s">
        <v>2828</v>
      </c>
      <c r="F121" s="80">
        <v>45707.0</v>
      </c>
      <c r="G121" s="78" t="s">
        <v>650</v>
      </c>
      <c r="H121" s="81" t="s">
        <v>3917</v>
      </c>
      <c r="I121" s="82">
        <v>5.2382217E7</v>
      </c>
      <c r="J121" s="83" t="s">
        <v>4174</v>
      </c>
      <c r="K121" s="81">
        <v>4.5297325E7</v>
      </c>
      <c r="L121" s="84">
        <v>45712.0</v>
      </c>
      <c r="M121" s="85">
        <v>624000.0</v>
      </c>
    </row>
    <row r="122">
      <c r="A122" s="77">
        <v>121.0</v>
      </c>
      <c r="B122" s="78" t="s">
        <v>3915</v>
      </c>
      <c r="C122" s="86">
        <v>2.0251020012233E13</v>
      </c>
      <c r="D122" s="87" t="s">
        <v>4175</v>
      </c>
      <c r="E122" s="78" t="s">
        <v>2821</v>
      </c>
      <c r="F122" s="80">
        <v>45707.0</v>
      </c>
      <c r="G122" s="78" t="s">
        <v>640</v>
      </c>
      <c r="H122" s="81" t="s">
        <v>3917</v>
      </c>
      <c r="I122" s="82">
        <v>1.04962724E9</v>
      </c>
      <c r="J122" s="83" t="s">
        <v>4176</v>
      </c>
      <c r="K122" s="81">
        <v>4.5291725E7</v>
      </c>
      <c r="L122" s="84">
        <v>45712.0</v>
      </c>
      <c r="M122" s="85">
        <v>417377.0</v>
      </c>
    </row>
    <row r="123">
      <c r="A123" s="77">
        <v>122.0</v>
      </c>
      <c r="B123" s="78" t="s">
        <v>3915</v>
      </c>
      <c r="C123" s="88">
        <v>2.0251300012433E13</v>
      </c>
      <c r="D123" s="78" t="s">
        <v>4177</v>
      </c>
      <c r="E123" s="78" t="s">
        <v>4178</v>
      </c>
      <c r="F123" s="80">
        <v>45708.0</v>
      </c>
      <c r="G123" s="78" t="s">
        <v>4179</v>
      </c>
      <c r="H123" s="81" t="s">
        <v>3917</v>
      </c>
      <c r="I123" s="82">
        <v>8.99999115E8</v>
      </c>
      <c r="J123" s="83" t="s">
        <v>4180</v>
      </c>
      <c r="K123" s="81">
        <v>4.8676525E7</v>
      </c>
      <c r="L123" s="84">
        <v>45714.0</v>
      </c>
      <c r="M123" s="85">
        <v>1463210.0</v>
      </c>
    </row>
    <row r="124">
      <c r="A124" s="77">
        <v>123.0</v>
      </c>
      <c r="B124" s="78" t="s">
        <v>3915</v>
      </c>
      <c r="C124" s="79">
        <v>2.0251140012613E13</v>
      </c>
      <c r="D124" s="78" t="s">
        <v>4181</v>
      </c>
      <c r="E124" s="78" t="s">
        <v>58</v>
      </c>
      <c r="F124" s="80">
        <v>45709.0</v>
      </c>
      <c r="G124" s="78" t="s">
        <v>59</v>
      </c>
      <c r="H124" s="81" t="s">
        <v>3917</v>
      </c>
      <c r="I124" s="82">
        <v>1.057582613E9</v>
      </c>
      <c r="J124" s="83" t="s">
        <v>4182</v>
      </c>
      <c r="K124" s="81">
        <v>4.8712525E7</v>
      </c>
      <c r="L124" s="84">
        <v>45714.0</v>
      </c>
      <c r="M124" s="85">
        <v>5133333.0</v>
      </c>
    </row>
    <row r="125">
      <c r="A125" s="77">
        <v>124.0</v>
      </c>
      <c r="B125" s="78" t="s">
        <v>3915</v>
      </c>
      <c r="C125" s="79">
        <v>2.0251140012623E13</v>
      </c>
      <c r="D125" s="78" t="s">
        <v>4183</v>
      </c>
      <c r="E125" s="78" t="s">
        <v>73</v>
      </c>
      <c r="F125" s="80">
        <v>45709.0</v>
      </c>
      <c r="G125" s="78" t="s">
        <v>74</v>
      </c>
      <c r="H125" s="81" t="s">
        <v>3917</v>
      </c>
      <c r="I125" s="82">
        <v>3.9464093E7</v>
      </c>
      <c r="J125" s="83" t="s">
        <v>4184</v>
      </c>
      <c r="K125" s="81">
        <v>4.8715025E7</v>
      </c>
      <c r="L125" s="84">
        <v>45714.0</v>
      </c>
      <c r="M125" s="85">
        <v>4400000.0</v>
      </c>
    </row>
    <row r="126">
      <c r="A126" s="77">
        <v>125.0</v>
      </c>
      <c r="B126" s="78" t="s">
        <v>3915</v>
      </c>
      <c r="C126" s="79">
        <v>2.0251120012753E13</v>
      </c>
      <c r="D126" s="78" t="s">
        <v>4185</v>
      </c>
      <c r="E126" s="78" t="s">
        <v>4186</v>
      </c>
      <c r="F126" s="80">
        <v>45712.0</v>
      </c>
      <c r="G126" s="78" t="s">
        <v>4187</v>
      </c>
      <c r="H126" s="81" t="s">
        <v>4127</v>
      </c>
      <c r="I126" s="82">
        <v>8.0015028E8</v>
      </c>
      <c r="J126" s="83" t="s">
        <v>4188</v>
      </c>
      <c r="K126" s="81">
        <v>5.1848725E7</v>
      </c>
      <c r="L126" s="84">
        <v>45714.0</v>
      </c>
      <c r="M126" s="85">
        <v>5590085.0</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89" t="s">
        <v>1</v>
      </c>
      <c r="B1" s="90" t="s">
        <v>3904</v>
      </c>
      <c r="C1" s="90" t="s">
        <v>3905</v>
      </c>
      <c r="D1" s="90" t="s">
        <v>4189</v>
      </c>
      <c r="E1" s="90" t="s">
        <v>3907</v>
      </c>
      <c r="F1" s="90" t="s">
        <v>4190</v>
      </c>
      <c r="G1" s="90" t="s">
        <v>3910</v>
      </c>
      <c r="H1" s="90" t="s">
        <v>3911</v>
      </c>
      <c r="I1" s="90" t="s">
        <v>4191</v>
      </c>
      <c r="J1" s="90" t="s">
        <v>3912</v>
      </c>
      <c r="K1" s="90" t="s">
        <v>4192</v>
      </c>
      <c r="L1" s="90" t="s">
        <v>3913</v>
      </c>
      <c r="M1" s="91"/>
    </row>
    <row r="2">
      <c r="A2" s="77">
        <v>1.0</v>
      </c>
      <c r="B2" s="78" t="s">
        <v>4193</v>
      </c>
      <c r="C2" s="79">
        <v>2.0251110013683E13</v>
      </c>
      <c r="D2" s="78" t="s">
        <v>4194</v>
      </c>
      <c r="E2" s="78" t="s">
        <v>79</v>
      </c>
      <c r="F2" s="81" t="s">
        <v>4127</v>
      </c>
      <c r="G2" s="82">
        <v>8.11009788E8</v>
      </c>
      <c r="H2" s="78" t="s">
        <v>4166</v>
      </c>
      <c r="I2" s="92" t="s">
        <v>146</v>
      </c>
      <c r="J2" s="81">
        <v>5.5999225E7</v>
      </c>
      <c r="K2" s="93">
        <v>344872.85</v>
      </c>
      <c r="L2" s="94">
        <v>45719.0</v>
      </c>
      <c r="M2" s="95"/>
    </row>
    <row r="3">
      <c r="A3" s="77">
        <v>2.0</v>
      </c>
      <c r="B3" s="78" t="s">
        <v>4193</v>
      </c>
      <c r="C3" s="79">
        <v>2.0251120013943E13</v>
      </c>
      <c r="D3" s="78" t="s">
        <v>4195</v>
      </c>
      <c r="E3" s="78" t="s">
        <v>745</v>
      </c>
      <c r="F3" s="81" t="s">
        <v>4196</v>
      </c>
      <c r="G3" s="82">
        <v>1.003586805E9</v>
      </c>
      <c r="H3" s="78" t="s">
        <v>4197</v>
      </c>
      <c r="I3" s="92" t="s">
        <v>847</v>
      </c>
      <c r="J3" s="81">
        <v>6.5874825E7</v>
      </c>
      <c r="K3" s="93">
        <v>2956905.0</v>
      </c>
      <c r="L3" s="94">
        <v>45726.0</v>
      </c>
      <c r="M3" s="95"/>
    </row>
    <row r="4">
      <c r="A4" s="77">
        <v>3.0</v>
      </c>
      <c r="B4" s="78" t="s">
        <v>4193</v>
      </c>
      <c r="C4" s="79">
        <v>2.0251800014083E13</v>
      </c>
      <c r="D4" s="78" t="s">
        <v>4198</v>
      </c>
      <c r="E4" s="78" t="s">
        <v>4199</v>
      </c>
      <c r="F4" s="81" t="s">
        <v>4196</v>
      </c>
      <c r="G4" s="82">
        <v>1.090383442E9</v>
      </c>
      <c r="H4" s="78" t="s">
        <v>3918</v>
      </c>
      <c r="I4" s="92" t="s">
        <v>405</v>
      </c>
      <c r="J4" s="81">
        <v>5.6001825E7</v>
      </c>
      <c r="K4" s="93">
        <v>5473000.0</v>
      </c>
      <c r="L4" s="94">
        <v>45719.0</v>
      </c>
      <c r="M4" s="95"/>
    </row>
    <row r="5">
      <c r="A5" s="77">
        <v>4.0</v>
      </c>
      <c r="B5" s="78" t="s">
        <v>4193</v>
      </c>
      <c r="C5" s="79">
        <v>2.0251800014073E13</v>
      </c>
      <c r="D5" s="78" t="s">
        <v>4200</v>
      </c>
      <c r="E5" s="78" t="s">
        <v>2846</v>
      </c>
      <c r="F5" s="81" t="s">
        <v>4196</v>
      </c>
      <c r="G5" s="82">
        <v>4.2145409E7</v>
      </c>
      <c r="H5" s="78" t="s">
        <v>4056</v>
      </c>
      <c r="I5" s="92" t="s">
        <v>405</v>
      </c>
      <c r="J5" s="81">
        <v>5.6004225E7</v>
      </c>
      <c r="K5" s="93">
        <v>5473000.0</v>
      </c>
      <c r="L5" s="94">
        <v>45719.0</v>
      </c>
      <c r="M5" s="95"/>
    </row>
    <row r="6">
      <c r="A6" s="77">
        <v>5.0</v>
      </c>
      <c r="B6" s="78" t="s">
        <v>4193</v>
      </c>
      <c r="C6" s="79">
        <v>2.0251530014093E13</v>
      </c>
      <c r="D6" s="78" t="s">
        <v>4201</v>
      </c>
      <c r="E6" s="78" t="s">
        <v>799</v>
      </c>
      <c r="F6" s="81" t="s">
        <v>4196</v>
      </c>
      <c r="G6" s="82">
        <v>1.026271385E9</v>
      </c>
      <c r="H6" s="78" t="s">
        <v>4202</v>
      </c>
      <c r="I6" s="92" t="s">
        <v>4203</v>
      </c>
      <c r="J6" s="81">
        <v>5.7535725E7</v>
      </c>
      <c r="K6" s="93">
        <v>6817633.0</v>
      </c>
      <c r="L6" s="94">
        <v>45720.0</v>
      </c>
      <c r="M6" s="95"/>
    </row>
    <row r="7">
      <c r="A7" s="77">
        <v>6.0</v>
      </c>
      <c r="B7" s="78" t="s">
        <v>4193</v>
      </c>
      <c r="C7" s="79">
        <v>2.0251900014103E13</v>
      </c>
      <c r="D7" s="78" t="s">
        <v>4204</v>
      </c>
      <c r="E7" s="78" t="s">
        <v>429</v>
      </c>
      <c r="F7" s="81" t="s">
        <v>4196</v>
      </c>
      <c r="G7" s="82">
        <v>1.065837239E9</v>
      </c>
      <c r="H7" s="78" t="s">
        <v>3924</v>
      </c>
      <c r="I7" s="92" t="s">
        <v>433</v>
      </c>
      <c r="J7" s="81">
        <v>5.6013425E7</v>
      </c>
      <c r="K7" s="93">
        <v>6500000.0</v>
      </c>
      <c r="L7" s="94">
        <v>45719.0</v>
      </c>
      <c r="M7" s="95"/>
    </row>
    <row r="8">
      <c r="A8" s="77">
        <v>7.0</v>
      </c>
      <c r="B8" s="78" t="s">
        <v>4193</v>
      </c>
      <c r="C8" s="79">
        <v>2.0251010014123E13</v>
      </c>
      <c r="D8" s="78" t="s">
        <v>4205</v>
      </c>
      <c r="E8" s="78" t="s">
        <v>123</v>
      </c>
      <c r="F8" s="81" t="s">
        <v>4196</v>
      </c>
      <c r="G8" s="82">
        <v>1.013653433E9</v>
      </c>
      <c r="H8" s="78" t="s">
        <v>3957</v>
      </c>
      <c r="I8" s="92" t="s">
        <v>922</v>
      </c>
      <c r="J8" s="81">
        <v>6.5875025E7</v>
      </c>
      <c r="K8" s="93">
        <v>9500000.0</v>
      </c>
      <c r="L8" s="94">
        <v>45726.0</v>
      </c>
      <c r="M8" s="95"/>
    </row>
    <row r="9">
      <c r="A9" s="77">
        <v>8.0</v>
      </c>
      <c r="B9" s="78" t="s">
        <v>4193</v>
      </c>
      <c r="C9" s="79">
        <v>2.0251400014143E13</v>
      </c>
      <c r="D9" s="78" t="s">
        <v>4206</v>
      </c>
      <c r="E9" s="78" t="s">
        <v>2854</v>
      </c>
      <c r="F9" s="81" t="s">
        <v>4196</v>
      </c>
      <c r="G9" s="82">
        <v>1.019065789E9</v>
      </c>
      <c r="H9" s="78" t="s">
        <v>3979</v>
      </c>
      <c r="I9" s="92" t="s">
        <v>666</v>
      </c>
      <c r="J9" s="81">
        <v>5.7993825E7</v>
      </c>
      <c r="K9" s="93">
        <v>7067762.0</v>
      </c>
      <c r="L9" s="94">
        <v>45720.0</v>
      </c>
      <c r="M9" s="95"/>
    </row>
    <row r="10">
      <c r="A10" s="77">
        <v>9.0</v>
      </c>
      <c r="B10" s="78" t="s">
        <v>4193</v>
      </c>
      <c r="C10" s="79">
        <v>2.0251140014173E13</v>
      </c>
      <c r="D10" s="78" t="s">
        <v>4207</v>
      </c>
      <c r="E10" s="78" t="s">
        <v>54</v>
      </c>
      <c r="F10" s="81" t="s">
        <v>4196</v>
      </c>
      <c r="G10" s="82">
        <v>1.082863101E9</v>
      </c>
      <c r="H10" s="78" t="s">
        <v>4208</v>
      </c>
      <c r="I10" s="92" t="s">
        <v>4209</v>
      </c>
      <c r="J10" s="81">
        <v>5.9383625E7</v>
      </c>
      <c r="K10" s="93">
        <v>6000000.0</v>
      </c>
      <c r="L10" s="94">
        <v>45721.0</v>
      </c>
      <c r="M10" s="95"/>
    </row>
    <row r="11">
      <c r="A11" s="77">
        <v>10.0</v>
      </c>
      <c r="B11" s="78" t="s">
        <v>4193</v>
      </c>
      <c r="C11" s="79">
        <v>2.0251900014213E13</v>
      </c>
      <c r="D11" s="78" t="s">
        <v>4210</v>
      </c>
      <c r="E11" s="78" t="s">
        <v>1068</v>
      </c>
      <c r="F11" s="81" t="s">
        <v>4196</v>
      </c>
      <c r="G11" s="82">
        <v>1.032484145E9</v>
      </c>
      <c r="H11" s="78" t="s">
        <v>4211</v>
      </c>
      <c r="I11" s="92" t="s">
        <v>1207</v>
      </c>
      <c r="J11" s="81">
        <v>7.0165625E7</v>
      </c>
      <c r="K11" s="93">
        <v>3683333.0</v>
      </c>
      <c r="L11" s="94">
        <v>45729.0</v>
      </c>
      <c r="M11" s="95"/>
    </row>
    <row r="12">
      <c r="A12" s="77">
        <v>11.0</v>
      </c>
      <c r="B12" s="78" t="s">
        <v>4193</v>
      </c>
      <c r="C12" s="79">
        <v>2.0251900014223E13</v>
      </c>
      <c r="D12" s="78" t="s">
        <v>4212</v>
      </c>
      <c r="E12" s="78" t="s">
        <v>4213</v>
      </c>
      <c r="F12" s="81" t="s">
        <v>4196</v>
      </c>
      <c r="G12" s="82">
        <v>1.130601351E9</v>
      </c>
      <c r="H12" s="78" t="s">
        <v>3920</v>
      </c>
      <c r="I12" s="92" t="s">
        <v>433</v>
      </c>
      <c r="J12" s="81">
        <v>5.9390125E7</v>
      </c>
      <c r="K12" s="93">
        <v>8000000.0</v>
      </c>
      <c r="L12" s="94">
        <v>45721.0</v>
      </c>
      <c r="M12" s="95"/>
    </row>
    <row r="13">
      <c r="A13" s="77">
        <v>12.0</v>
      </c>
      <c r="B13" s="78" t="s">
        <v>4193</v>
      </c>
      <c r="C13" s="79">
        <v>2.0251000014233E13</v>
      </c>
      <c r="D13" s="78" t="s">
        <v>4214</v>
      </c>
      <c r="E13" s="78" t="s">
        <v>101</v>
      </c>
      <c r="F13" s="81" t="s">
        <v>4196</v>
      </c>
      <c r="G13" s="82">
        <v>1.016013668E9</v>
      </c>
      <c r="H13" s="78" t="s">
        <v>4071</v>
      </c>
      <c r="I13" s="92" t="s">
        <v>2663</v>
      </c>
      <c r="J13" s="81">
        <v>5.9424325E7</v>
      </c>
      <c r="K13" s="93">
        <v>7500000.0</v>
      </c>
      <c r="L13" s="94">
        <v>45721.0</v>
      </c>
      <c r="M13" s="95"/>
    </row>
    <row r="14">
      <c r="A14" s="77">
        <v>13.0</v>
      </c>
      <c r="B14" s="78" t="s">
        <v>4193</v>
      </c>
      <c r="C14" s="79">
        <v>2.0251530014253E13</v>
      </c>
      <c r="D14" s="78" t="s">
        <v>4201</v>
      </c>
      <c r="E14" s="78" t="s">
        <v>849</v>
      </c>
      <c r="F14" s="81" t="s">
        <v>4196</v>
      </c>
      <c r="G14" s="82">
        <v>1.033736378E9</v>
      </c>
      <c r="H14" s="78" t="s">
        <v>4215</v>
      </c>
      <c r="I14" s="92" t="s">
        <v>4203</v>
      </c>
      <c r="J14" s="81">
        <v>5.7848725E7</v>
      </c>
      <c r="K14" s="93">
        <v>6293200.0</v>
      </c>
      <c r="L14" s="94">
        <v>45720.0</v>
      </c>
      <c r="M14" s="95"/>
    </row>
    <row r="15">
      <c r="A15" s="77">
        <v>14.0</v>
      </c>
      <c r="B15" s="78" t="s">
        <v>4193</v>
      </c>
      <c r="C15" s="79">
        <v>2.0251400014273E13</v>
      </c>
      <c r="D15" s="78" t="s">
        <v>4216</v>
      </c>
      <c r="E15" s="78" t="s">
        <v>1125</v>
      </c>
      <c r="F15" s="81" t="s">
        <v>4196</v>
      </c>
      <c r="G15" s="82">
        <v>1.019003737E9</v>
      </c>
      <c r="H15" s="78" t="s">
        <v>4217</v>
      </c>
      <c r="I15" s="92" t="s">
        <v>666</v>
      </c>
      <c r="J15" s="81">
        <v>5.7595225E7</v>
      </c>
      <c r="K15" s="93">
        <v>1649144.0</v>
      </c>
      <c r="L15" s="94">
        <v>45720.0</v>
      </c>
      <c r="M15" s="95"/>
    </row>
    <row r="16">
      <c r="A16" s="77">
        <v>15.0</v>
      </c>
      <c r="B16" s="78" t="s">
        <v>4193</v>
      </c>
      <c r="C16" s="79">
        <v>2.0251010014283E13</v>
      </c>
      <c r="D16" s="78" t="s">
        <v>4218</v>
      </c>
      <c r="E16" s="78" t="s">
        <v>206</v>
      </c>
      <c r="F16" s="81" t="s">
        <v>4196</v>
      </c>
      <c r="G16" s="82">
        <v>1.030634246E9</v>
      </c>
      <c r="H16" s="78" t="s">
        <v>3926</v>
      </c>
      <c r="I16" s="92" t="s">
        <v>211</v>
      </c>
      <c r="J16" s="81">
        <v>5.6009025E7</v>
      </c>
      <c r="K16" s="93">
        <v>1.1E7</v>
      </c>
      <c r="L16" s="94">
        <v>45719.0</v>
      </c>
      <c r="M16" s="95"/>
    </row>
    <row r="17">
      <c r="A17" s="77">
        <v>16.0</v>
      </c>
      <c r="B17" s="78" t="s">
        <v>4193</v>
      </c>
      <c r="C17" s="79">
        <v>2.0251400014313E13</v>
      </c>
      <c r="D17" s="78" t="s">
        <v>4219</v>
      </c>
      <c r="E17" s="78" t="s">
        <v>276</v>
      </c>
      <c r="F17" s="81" t="s">
        <v>4196</v>
      </c>
      <c r="G17" s="82">
        <v>367422.0</v>
      </c>
      <c r="H17" s="78" t="s">
        <v>3945</v>
      </c>
      <c r="I17" s="92" t="s">
        <v>112</v>
      </c>
      <c r="J17" s="81">
        <v>5.6010325E7</v>
      </c>
      <c r="K17" s="93">
        <v>7067762.0</v>
      </c>
      <c r="L17" s="94">
        <v>45719.0</v>
      </c>
      <c r="M17" s="95"/>
    </row>
    <row r="18">
      <c r="A18" s="77">
        <v>17.0</v>
      </c>
      <c r="B18" s="78" t="s">
        <v>4193</v>
      </c>
      <c r="C18" s="79">
        <v>2.0251400014333E13</v>
      </c>
      <c r="D18" s="78" t="s">
        <v>4220</v>
      </c>
      <c r="E18" s="78" t="s">
        <v>107</v>
      </c>
      <c r="F18" s="81" t="s">
        <v>4196</v>
      </c>
      <c r="G18" s="82">
        <v>1.032409297E9</v>
      </c>
      <c r="H18" s="78" t="s">
        <v>3934</v>
      </c>
      <c r="I18" s="92" t="s">
        <v>112</v>
      </c>
      <c r="J18" s="81">
        <v>5.7575625E7</v>
      </c>
      <c r="K18" s="93">
        <v>9000000.0</v>
      </c>
      <c r="L18" s="94">
        <v>45720.0</v>
      </c>
      <c r="M18" s="95"/>
    </row>
    <row r="19">
      <c r="A19" s="77">
        <v>18.0</v>
      </c>
      <c r="B19" s="78" t="s">
        <v>4193</v>
      </c>
      <c r="C19" s="79">
        <v>2.0251110014303E13</v>
      </c>
      <c r="D19" s="78" t="s">
        <v>4221</v>
      </c>
      <c r="E19" s="78" t="s">
        <v>515</v>
      </c>
      <c r="F19" s="81" t="s">
        <v>4196</v>
      </c>
      <c r="G19" s="82">
        <v>5.2045839E7</v>
      </c>
      <c r="H19" s="78" t="s">
        <v>3969</v>
      </c>
      <c r="I19" s="92" t="s">
        <v>146</v>
      </c>
      <c r="J19" s="81">
        <v>6.2009225E7</v>
      </c>
      <c r="K19" s="93">
        <v>8017840.0</v>
      </c>
      <c r="L19" s="94">
        <v>45722.0</v>
      </c>
      <c r="M19" s="95"/>
    </row>
    <row r="20">
      <c r="A20" s="77">
        <v>19.0</v>
      </c>
      <c r="B20" s="78" t="s">
        <v>4193</v>
      </c>
      <c r="C20" s="79">
        <v>2.0251400014343E13</v>
      </c>
      <c r="D20" s="78" t="s">
        <v>4222</v>
      </c>
      <c r="E20" s="78" t="s">
        <v>155</v>
      </c>
      <c r="F20" s="81" t="s">
        <v>4196</v>
      </c>
      <c r="G20" s="82">
        <v>8.0076408E7</v>
      </c>
      <c r="H20" s="78" t="s">
        <v>3981</v>
      </c>
      <c r="I20" s="92" t="s">
        <v>112</v>
      </c>
      <c r="J20" s="81">
        <v>5.7532325E7</v>
      </c>
      <c r="K20" s="93">
        <v>1.3E7</v>
      </c>
      <c r="L20" s="94">
        <v>45720.0</v>
      </c>
      <c r="M20" s="95"/>
    </row>
    <row r="21">
      <c r="A21" s="77">
        <v>20.0</v>
      </c>
      <c r="B21" s="78" t="s">
        <v>4193</v>
      </c>
      <c r="C21" s="79">
        <v>2.0251900014353E13</v>
      </c>
      <c r="D21" s="78" t="s">
        <v>4223</v>
      </c>
      <c r="E21" s="78" t="s">
        <v>2791</v>
      </c>
      <c r="F21" s="81" t="s">
        <v>4196</v>
      </c>
      <c r="G21" s="82">
        <v>1.096217701E9</v>
      </c>
      <c r="H21" s="78" t="s">
        <v>4122</v>
      </c>
      <c r="I21" s="92" t="s">
        <v>433</v>
      </c>
      <c r="J21" s="81">
        <v>5.7666325E7</v>
      </c>
      <c r="K21" s="93">
        <v>4500000.0</v>
      </c>
      <c r="L21" s="94">
        <v>45720.0</v>
      </c>
      <c r="M21" s="95"/>
    </row>
    <row r="22">
      <c r="A22" s="77">
        <v>21.0</v>
      </c>
      <c r="B22" s="78" t="s">
        <v>4193</v>
      </c>
      <c r="C22" s="79">
        <v>2.0251400014363E13</v>
      </c>
      <c r="D22" s="78" t="s">
        <v>4224</v>
      </c>
      <c r="E22" s="78" t="s">
        <v>1114</v>
      </c>
      <c r="F22" s="81" t="s">
        <v>4196</v>
      </c>
      <c r="G22" s="82">
        <v>8.0012143E7</v>
      </c>
      <c r="H22" s="78" t="s">
        <v>4225</v>
      </c>
      <c r="I22" s="92" t="s">
        <v>666</v>
      </c>
      <c r="J22" s="81">
        <v>5.7534325E7</v>
      </c>
      <c r="K22" s="93">
        <v>2333333.0</v>
      </c>
      <c r="L22" s="94">
        <v>45720.0</v>
      </c>
      <c r="M22" s="95"/>
    </row>
    <row r="23">
      <c r="A23" s="77">
        <v>22.0</v>
      </c>
      <c r="B23" s="78" t="s">
        <v>4193</v>
      </c>
      <c r="C23" s="79">
        <v>2.0251530014383E13</v>
      </c>
      <c r="D23" s="78" t="s">
        <v>4226</v>
      </c>
      <c r="E23" s="78" t="s">
        <v>894</v>
      </c>
      <c r="F23" s="81" t="s">
        <v>4196</v>
      </c>
      <c r="G23" s="82">
        <v>1.070918327E9</v>
      </c>
      <c r="H23" s="78" t="s">
        <v>4227</v>
      </c>
      <c r="I23" s="92" t="s">
        <v>352</v>
      </c>
      <c r="J23" s="81">
        <v>5.7674125E7</v>
      </c>
      <c r="K23" s="93">
        <v>5837280.0</v>
      </c>
      <c r="L23" s="94">
        <v>45720.0</v>
      </c>
      <c r="M23" s="95"/>
    </row>
    <row r="24">
      <c r="A24" s="77">
        <v>23.0</v>
      </c>
      <c r="B24" s="78" t="s">
        <v>4193</v>
      </c>
      <c r="C24" s="79">
        <v>2.0251000014393E13</v>
      </c>
      <c r="D24" s="78" t="s">
        <v>4228</v>
      </c>
      <c r="E24" s="78" t="s">
        <v>480</v>
      </c>
      <c r="F24" s="81" t="s">
        <v>4196</v>
      </c>
      <c r="G24" s="82">
        <v>5.2811892E7</v>
      </c>
      <c r="H24" s="78" t="s">
        <v>3959</v>
      </c>
      <c r="I24" s="92" t="s">
        <v>4229</v>
      </c>
      <c r="J24" s="81">
        <v>5.7670125E7</v>
      </c>
      <c r="K24" s="93">
        <v>8500000.0</v>
      </c>
      <c r="L24" s="94">
        <v>45720.0</v>
      </c>
      <c r="M24" s="95"/>
    </row>
    <row r="25">
      <c r="A25" s="77">
        <v>24.0</v>
      </c>
      <c r="B25" s="78" t="s">
        <v>4193</v>
      </c>
      <c r="C25" s="79">
        <v>2.0251400014403E13</v>
      </c>
      <c r="D25" s="78" t="s">
        <v>4230</v>
      </c>
      <c r="E25" s="78" t="s">
        <v>2888</v>
      </c>
      <c r="F25" s="81" t="s">
        <v>4196</v>
      </c>
      <c r="G25" s="82">
        <v>1.069759231E9</v>
      </c>
      <c r="H25" s="78" t="s">
        <v>3975</v>
      </c>
      <c r="I25" s="92" t="s">
        <v>4231</v>
      </c>
      <c r="J25" s="81">
        <v>5.7678325E7</v>
      </c>
      <c r="K25" s="93">
        <v>7942200.0</v>
      </c>
      <c r="L25" s="94">
        <v>45720.0</v>
      </c>
      <c r="M25" s="95"/>
    </row>
    <row r="26">
      <c r="A26" s="77">
        <v>25.0</v>
      </c>
      <c r="B26" s="78" t="s">
        <v>4193</v>
      </c>
      <c r="C26" s="79">
        <v>2.0251010014463E13</v>
      </c>
      <c r="D26" s="78" t="s">
        <v>4232</v>
      </c>
      <c r="E26" s="78" t="s">
        <v>199</v>
      </c>
      <c r="F26" s="81" t="s">
        <v>4196</v>
      </c>
      <c r="G26" s="82">
        <v>1.013617963E9</v>
      </c>
      <c r="H26" s="78" t="s">
        <v>3973</v>
      </c>
      <c r="I26" s="92" t="s">
        <v>4233</v>
      </c>
      <c r="J26" s="81">
        <v>5.7878125E7</v>
      </c>
      <c r="K26" s="93">
        <v>1.0E7</v>
      </c>
      <c r="L26" s="94">
        <v>45720.0</v>
      </c>
      <c r="M26" s="95"/>
    </row>
    <row r="27">
      <c r="A27" s="77">
        <v>26.0</v>
      </c>
      <c r="B27" s="78" t="s">
        <v>4193</v>
      </c>
      <c r="C27" s="79">
        <v>2.0251530014473E13</v>
      </c>
      <c r="D27" s="78" t="s">
        <v>4234</v>
      </c>
      <c r="E27" s="78" t="s">
        <v>886</v>
      </c>
      <c r="F27" s="81" t="s">
        <v>4196</v>
      </c>
      <c r="G27" s="82">
        <v>1.049640327E9</v>
      </c>
      <c r="H27" s="78" t="s">
        <v>4235</v>
      </c>
      <c r="I27" s="92" t="s">
        <v>4236</v>
      </c>
      <c r="J27" s="81">
        <v>6.0223325E7</v>
      </c>
      <c r="K27" s="93">
        <v>5076800.0</v>
      </c>
      <c r="L27" s="94">
        <v>45721.0</v>
      </c>
      <c r="M27" s="95"/>
    </row>
    <row r="28">
      <c r="A28" s="77">
        <v>27.0</v>
      </c>
      <c r="B28" s="78" t="s">
        <v>4193</v>
      </c>
      <c r="C28" s="79">
        <v>2.0251010014443E13</v>
      </c>
      <c r="D28" s="78" t="s">
        <v>4237</v>
      </c>
      <c r="E28" s="78" t="s">
        <v>822</v>
      </c>
      <c r="F28" s="81" t="s">
        <v>4196</v>
      </c>
      <c r="G28" s="82">
        <v>1.193406964E9</v>
      </c>
      <c r="H28" s="78" t="s">
        <v>4238</v>
      </c>
      <c r="I28" s="92" t="s">
        <v>922</v>
      </c>
      <c r="J28" s="81">
        <v>5.7528925E7</v>
      </c>
      <c r="K28" s="93">
        <v>3035760.0</v>
      </c>
      <c r="L28" s="94">
        <v>45720.0</v>
      </c>
      <c r="M28" s="95"/>
    </row>
    <row r="29">
      <c r="A29" s="77">
        <v>28.0</v>
      </c>
      <c r="B29" s="78" t="s">
        <v>4193</v>
      </c>
      <c r="C29" s="79">
        <v>2.0251610014263E13</v>
      </c>
      <c r="D29" s="78" t="s">
        <v>4239</v>
      </c>
      <c r="E29" s="78" t="s">
        <v>562</v>
      </c>
      <c r="F29" s="81" t="s">
        <v>4196</v>
      </c>
      <c r="G29" s="82">
        <v>1.144099527E9</v>
      </c>
      <c r="H29" s="78" t="s">
        <v>4015</v>
      </c>
      <c r="I29" s="92" t="s">
        <v>561</v>
      </c>
      <c r="J29" s="81">
        <v>6.5875125E7</v>
      </c>
      <c r="K29" s="93">
        <v>4374300.0</v>
      </c>
      <c r="L29" s="94">
        <v>45726.0</v>
      </c>
      <c r="M29" s="95"/>
    </row>
    <row r="30">
      <c r="A30" s="77">
        <v>29.0</v>
      </c>
      <c r="B30" s="78" t="s">
        <v>4193</v>
      </c>
      <c r="C30" s="79">
        <v>2.0251120014453E13</v>
      </c>
      <c r="D30" s="78" t="s">
        <v>4240</v>
      </c>
      <c r="E30" s="78" t="s">
        <v>231</v>
      </c>
      <c r="F30" s="81" t="s">
        <v>4196</v>
      </c>
      <c r="G30" s="82">
        <v>5.246763E7</v>
      </c>
      <c r="H30" s="78" t="s">
        <v>3940</v>
      </c>
      <c r="I30" s="92" t="s">
        <v>235</v>
      </c>
      <c r="J30" s="81">
        <v>6.5875225E7</v>
      </c>
      <c r="K30" s="93">
        <v>7366800.0</v>
      </c>
      <c r="L30" s="94">
        <v>45726.0</v>
      </c>
      <c r="M30" s="95"/>
    </row>
    <row r="31">
      <c r="A31" s="77">
        <v>30.0</v>
      </c>
      <c r="B31" s="78" t="s">
        <v>4193</v>
      </c>
      <c r="C31" s="79">
        <v>2.0251900014483E13</v>
      </c>
      <c r="D31" s="78" t="s">
        <v>4241</v>
      </c>
      <c r="E31" s="78" t="s">
        <v>4242</v>
      </c>
      <c r="F31" s="81" t="s">
        <v>4196</v>
      </c>
      <c r="G31" s="82">
        <v>1.015471886E9</v>
      </c>
      <c r="H31" s="78" t="s">
        <v>4243</v>
      </c>
      <c r="I31" s="92" t="s">
        <v>433</v>
      </c>
      <c r="J31" s="81">
        <v>6.2087725E7</v>
      </c>
      <c r="K31" s="93">
        <v>3630000.0</v>
      </c>
      <c r="L31" s="94">
        <v>45722.0</v>
      </c>
      <c r="M31" s="95"/>
    </row>
    <row r="32">
      <c r="A32" s="77">
        <v>31.0</v>
      </c>
      <c r="B32" s="78" t="s">
        <v>4193</v>
      </c>
      <c r="C32" s="79">
        <v>2.0251140014503E13</v>
      </c>
      <c r="D32" s="78" t="s">
        <v>4244</v>
      </c>
      <c r="E32" s="78" t="s">
        <v>49</v>
      </c>
      <c r="F32" s="81" t="s">
        <v>4196</v>
      </c>
      <c r="G32" s="82">
        <v>1.053821048E9</v>
      </c>
      <c r="H32" s="78" t="s">
        <v>4081</v>
      </c>
      <c r="I32" s="92" t="s">
        <v>4209</v>
      </c>
      <c r="J32" s="81">
        <v>5.7616825E7</v>
      </c>
      <c r="K32" s="93">
        <v>4787000.0</v>
      </c>
      <c r="L32" s="94">
        <v>45720.0</v>
      </c>
      <c r="M32" s="95"/>
    </row>
    <row r="33">
      <c r="A33" s="77">
        <v>32.0</v>
      </c>
      <c r="B33" s="78" t="s">
        <v>4193</v>
      </c>
      <c r="C33" s="79">
        <v>2.0251010014513E13</v>
      </c>
      <c r="D33" s="78" t="s">
        <v>4245</v>
      </c>
      <c r="E33" s="78" t="s">
        <v>2879</v>
      </c>
      <c r="F33" s="81" t="s">
        <v>4196</v>
      </c>
      <c r="G33" s="82">
        <v>5.3134639E7</v>
      </c>
      <c r="H33" s="78" t="s">
        <v>3953</v>
      </c>
      <c r="I33" s="92" t="s">
        <v>127</v>
      </c>
      <c r="J33" s="81">
        <v>5.9351425E7</v>
      </c>
      <c r="K33" s="93">
        <v>9000000.0</v>
      </c>
      <c r="L33" s="94">
        <v>45721.0</v>
      </c>
      <c r="M33" s="95"/>
    </row>
    <row r="34">
      <c r="A34" s="77">
        <v>33.0</v>
      </c>
      <c r="B34" s="78" t="s">
        <v>4193</v>
      </c>
      <c r="C34" s="79">
        <v>2.0251010014523E13</v>
      </c>
      <c r="D34" s="78" t="s">
        <v>4246</v>
      </c>
      <c r="E34" s="78" t="s">
        <v>818</v>
      </c>
      <c r="F34" s="81" t="s">
        <v>4196</v>
      </c>
      <c r="G34" s="82">
        <v>1.033769305E9</v>
      </c>
      <c r="H34" s="78" t="s">
        <v>4247</v>
      </c>
      <c r="I34" s="92" t="s">
        <v>211</v>
      </c>
      <c r="J34" s="81">
        <v>5.7784625E7</v>
      </c>
      <c r="K34" s="93">
        <v>6666667.0</v>
      </c>
      <c r="L34" s="94">
        <v>45720.0</v>
      </c>
      <c r="M34" s="95"/>
    </row>
    <row r="35">
      <c r="A35" s="77">
        <v>34.0</v>
      </c>
      <c r="B35" s="78" t="s">
        <v>4193</v>
      </c>
      <c r="C35" s="79">
        <v>2.0251010014553E13</v>
      </c>
      <c r="D35" s="78" t="s">
        <v>4248</v>
      </c>
      <c r="E35" s="78" t="s">
        <v>1061</v>
      </c>
      <c r="F35" s="81" t="s">
        <v>4196</v>
      </c>
      <c r="G35" s="82">
        <v>1.010233207E9</v>
      </c>
      <c r="H35" s="78" t="s">
        <v>4249</v>
      </c>
      <c r="I35" s="92" t="s">
        <v>127</v>
      </c>
      <c r="J35" s="81">
        <v>6.0181325E7</v>
      </c>
      <c r="K35" s="93">
        <v>3116667.0</v>
      </c>
      <c r="L35" s="94">
        <v>45721.0</v>
      </c>
      <c r="M35" s="95"/>
    </row>
    <row r="36">
      <c r="A36" s="77">
        <v>35.0</v>
      </c>
      <c r="B36" s="78" t="s">
        <v>4193</v>
      </c>
      <c r="C36" s="79">
        <v>2.0251010014563E13</v>
      </c>
      <c r="D36" s="78" t="s">
        <v>4250</v>
      </c>
      <c r="E36" s="78" t="s">
        <v>582</v>
      </c>
      <c r="F36" s="81" t="s">
        <v>4196</v>
      </c>
      <c r="G36" s="82">
        <v>1.13065411E9</v>
      </c>
      <c r="H36" s="78" t="s">
        <v>3955</v>
      </c>
      <c r="I36" s="92" t="s">
        <v>127</v>
      </c>
      <c r="J36" s="81">
        <v>5.9392525E7</v>
      </c>
      <c r="K36" s="93">
        <v>9000000.0</v>
      </c>
      <c r="L36" s="94">
        <v>45721.0</v>
      </c>
      <c r="M36" s="95"/>
    </row>
    <row r="37">
      <c r="A37" s="77">
        <v>36.0</v>
      </c>
      <c r="B37" s="78" t="s">
        <v>4193</v>
      </c>
      <c r="C37" s="79">
        <v>2.0251800014573E13</v>
      </c>
      <c r="D37" s="78" t="s">
        <v>4251</v>
      </c>
      <c r="E37" s="78" t="s">
        <v>464</v>
      </c>
      <c r="F37" s="81" t="s">
        <v>4196</v>
      </c>
      <c r="G37" s="82">
        <v>1.015445697E9</v>
      </c>
      <c r="H37" s="78" t="s">
        <v>3971</v>
      </c>
      <c r="I37" s="92" t="s">
        <v>468</v>
      </c>
      <c r="J37" s="81">
        <v>5.9420225E7</v>
      </c>
      <c r="K37" s="93">
        <v>5930000.0</v>
      </c>
      <c r="L37" s="94">
        <v>45721.0</v>
      </c>
      <c r="M37" s="95"/>
    </row>
    <row r="38">
      <c r="A38" s="77">
        <v>37.0</v>
      </c>
      <c r="B38" s="78" t="s">
        <v>4193</v>
      </c>
      <c r="C38" s="79">
        <v>2.0251800014583E13</v>
      </c>
      <c r="D38" s="78" t="s">
        <v>4252</v>
      </c>
      <c r="E38" s="78" t="s">
        <v>476</v>
      </c>
      <c r="F38" s="81" t="s">
        <v>4196</v>
      </c>
      <c r="G38" s="82">
        <v>9528037.0</v>
      </c>
      <c r="H38" s="78" t="s">
        <v>3951</v>
      </c>
      <c r="I38" s="92" t="s">
        <v>468</v>
      </c>
      <c r="J38" s="81">
        <v>6.0159325E7</v>
      </c>
      <c r="K38" s="93">
        <v>7016000.0</v>
      </c>
      <c r="L38" s="94">
        <v>45721.0</v>
      </c>
      <c r="M38" s="95"/>
    </row>
    <row r="39">
      <c r="A39" s="77">
        <v>39.0</v>
      </c>
      <c r="B39" s="78" t="s">
        <v>4193</v>
      </c>
      <c r="C39" s="79">
        <v>2.0251010014133E13</v>
      </c>
      <c r="D39" s="78" t="s">
        <v>4253</v>
      </c>
      <c r="E39" s="78" t="s">
        <v>423</v>
      </c>
      <c r="F39" s="81" t="s">
        <v>4196</v>
      </c>
      <c r="G39" s="82">
        <v>1.020786621E9</v>
      </c>
      <c r="H39" s="78" t="s">
        <v>3928</v>
      </c>
      <c r="I39" s="92" t="s">
        <v>428</v>
      </c>
      <c r="J39" s="81">
        <v>5.7644325E7</v>
      </c>
      <c r="K39" s="93">
        <v>8000000.0</v>
      </c>
      <c r="L39" s="94">
        <v>45720.0</v>
      </c>
      <c r="M39" s="95"/>
    </row>
    <row r="40">
      <c r="A40" s="77">
        <v>40.0</v>
      </c>
      <c r="B40" s="78" t="s">
        <v>4193</v>
      </c>
      <c r="C40" s="79">
        <v>2.0251140014163E13</v>
      </c>
      <c r="D40" s="78" t="s">
        <v>4254</v>
      </c>
      <c r="E40" s="78" t="s">
        <v>63</v>
      </c>
      <c r="F40" s="81" t="s">
        <v>4196</v>
      </c>
      <c r="G40" s="82">
        <v>1.019094411E9</v>
      </c>
      <c r="H40" s="78" t="s">
        <v>3932</v>
      </c>
      <c r="I40" s="92" t="s">
        <v>4255</v>
      </c>
      <c r="J40" s="81">
        <v>6.0233825E7</v>
      </c>
      <c r="K40" s="93">
        <v>6000000.0</v>
      </c>
      <c r="L40" s="94">
        <v>45721.0</v>
      </c>
      <c r="M40" s="95"/>
    </row>
    <row r="41">
      <c r="A41" s="77">
        <v>41.0</v>
      </c>
      <c r="B41" s="78" t="s">
        <v>4193</v>
      </c>
      <c r="C41" s="79">
        <v>2.0251300014293E13</v>
      </c>
      <c r="D41" s="78" t="s">
        <v>4256</v>
      </c>
      <c r="E41" s="78" t="s">
        <v>129</v>
      </c>
      <c r="F41" s="81" t="s">
        <v>4196</v>
      </c>
      <c r="G41" s="82">
        <v>1.010244152E9</v>
      </c>
      <c r="H41" s="78" t="s">
        <v>4006</v>
      </c>
      <c r="I41" s="92" t="s">
        <v>133</v>
      </c>
      <c r="J41" s="81">
        <v>5.9397825E7</v>
      </c>
      <c r="K41" s="93">
        <v>7280000.0</v>
      </c>
      <c r="L41" s="94">
        <v>45721.0</v>
      </c>
      <c r="M41" s="95"/>
    </row>
    <row r="42">
      <c r="A42" s="77">
        <v>42.0</v>
      </c>
      <c r="B42" s="78" t="s">
        <v>4193</v>
      </c>
      <c r="C42" s="79">
        <v>2.0251100014633E13</v>
      </c>
      <c r="D42" s="78" t="s">
        <v>4257</v>
      </c>
      <c r="E42" s="78" t="s">
        <v>280</v>
      </c>
      <c r="F42" s="81" t="s">
        <v>3944</v>
      </c>
      <c r="G42" s="82">
        <v>202634.0</v>
      </c>
      <c r="H42" s="78" t="s">
        <v>3993</v>
      </c>
      <c r="I42" s="92" t="s">
        <v>4258</v>
      </c>
      <c r="J42" s="81">
        <v>5.9354825E7</v>
      </c>
      <c r="K42" s="93">
        <v>7000000.0</v>
      </c>
      <c r="L42" s="94">
        <v>45721.0</v>
      </c>
      <c r="M42" s="95"/>
    </row>
    <row r="43">
      <c r="A43" s="77">
        <v>43.0</v>
      </c>
      <c r="B43" s="78" t="s">
        <v>4193</v>
      </c>
      <c r="C43" s="79">
        <v>2.0251400014653E13</v>
      </c>
      <c r="D43" s="78" t="s">
        <v>4259</v>
      </c>
      <c r="E43" s="78" t="s">
        <v>1118</v>
      </c>
      <c r="F43" s="81" t="s">
        <v>4196</v>
      </c>
      <c r="G43" s="82">
        <v>1.073519307E9</v>
      </c>
      <c r="H43" s="78" t="s">
        <v>4260</v>
      </c>
      <c r="I43" s="92" t="s">
        <v>112</v>
      </c>
      <c r="J43" s="81">
        <v>6.0243725E7</v>
      </c>
      <c r="K43" s="93">
        <v>437430.0</v>
      </c>
      <c r="L43" s="94">
        <v>45721.0</v>
      </c>
      <c r="M43" s="95"/>
    </row>
    <row r="44">
      <c r="A44" s="77">
        <v>44.0</v>
      </c>
      <c r="B44" s="78" t="s">
        <v>4193</v>
      </c>
      <c r="C44" s="96">
        <v>2.0251010014183E13</v>
      </c>
      <c r="D44" s="78" t="s">
        <v>4261</v>
      </c>
      <c r="E44" s="78" t="s">
        <v>1005</v>
      </c>
      <c r="F44" s="81" t="s">
        <v>4196</v>
      </c>
      <c r="G44" s="82">
        <v>5.2498078E7</v>
      </c>
      <c r="H44" s="78" t="s">
        <v>4262</v>
      </c>
      <c r="I44" s="92" t="s">
        <v>4263</v>
      </c>
      <c r="J44" s="81">
        <v>6.5876025E7</v>
      </c>
      <c r="K44" s="93">
        <v>3850000.0</v>
      </c>
      <c r="L44" s="94">
        <v>45726.0</v>
      </c>
      <c r="M44" s="95"/>
    </row>
    <row r="45">
      <c r="A45" s="77">
        <v>45.0</v>
      </c>
      <c r="B45" s="78" t="s">
        <v>4193</v>
      </c>
      <c r="C45" s="79">
        <v>2.0251130014673E13</v>
      </c>
      <c r="D45" s="78" t="s">
        <v>4264</v>
      </c>
      <c r="E45" s="78" t="s">
        <v>303</v>
      </c>
      <c r="F45" s="81" t="s">
        <v>4196</v>
      </c>
      <c r="G45" s="82">
        <v>5.2713391E7</v>
      </c>
      <c r="H45" s="78" t="s">
        <v>3987</v>
      </c>
      <c r="I45" s="92" t="s">
        <v>274</v>
      </c>
      <c r="J45" s="81">
        <v>5.7660325E7</v>
      </c>
      <c r="K45" s="93">
        <v>8369700.0</v>
      </c>
      <c r="L45" s="94">
        <v>45720.0</v>
      </c>
      <c r="M45" s="95"/>
    </row>
    <row r="46">
      <c r="A46" s="77">
        <v>46.0</v>
      </c>
      <c r="B46" s="78" t="s">
        <v>4193</v>
      </c>
      <c r="C46" s="79">
        <v>2.0251130014683E13</v>
      </c>
      <c r="D46" s="78" t="s">
        <v>4265</v>
      </c>
      <c r="E46" s="78" t="s">
        <v>270</v>
      </c>
      <c r="F46" s="81" t="s">
        <v>4196</v>
      </c>
      <c r="G46" s="82">
        <v>1.110550504E9</v>
      </c>
      <c r="H46" s="78" t="s">
        <v>4066</v>
      </c>
      <c r="I46" s="92" t="s">
        <v>274</v>
      </c>
      <c r="J46" s="81">
        <v>5.7668025E7</v>
      </c>
      <c r="K46" s="93">
        <v>5429062.0</v>
      </c>
      <c r="L46" s="94">
        <v>45720.0</v>
      </c>
      <c r="M46" s="95"/>
    </row>
    <row r="47">
      <c r="A47" s="77">
        <v>47.0</v>
      </c>
      <c r="B47" s="78" t="s">
        <v>4193</v>
      </c>
      <c r="C47" s="79">
        <v>2.0251520014693E13</v>
      </c>
      <c r="D47" s="78" t="s">
        <v>4266</v>
      </c>
      <c r="E47" s="78" t="s">
        <v>416</v>
      </c>
      <c r="F47" s="81" t="s">
        <v>4196</v>
      </c>
      <c r="G47" s="82">
        <v>1.05382899E9</v>
      </c>
      <c r="H47" s="78" t="s">
        <v>3947</v>
      </c>
      <c r="I47" s="92" t="s">
        <v>421</v>
      </c>
      <c r="J47" s="81">
        <v>5.9353125E7</v>
      </c>
      <c r="K47" s="93">
        <v>1.2544456E7</v>
      </c>
      <c r="L47" s="94">
        <v>45721.0</v>
      </c>
      <c r="M47" s="95"/>
    </row>
    <row r="48">
      <c r="A48" s="77">
        <v>48.0</v>
      </c>
      <c r="B48" s="78" t="s">
        <v>4193</v>
      </c>
      <c r="C48" s="79">
        <v>2.0251400014703E13</v>
      </c>
      <c r="D48" s="78" t="s">
        <v>4267</v>
      </c>
      <c r="E48" s="78" t="s">
        <v>299</v>
      </c>
      <c r="F48" s="81" t="s">
        <v>4196</v>
      </c>
      <c r="G48" s="82">
        <v>1.052408723E9</v>
      </c>
      <c r="H48" s="78" t="s">
        <v>3942</v>
      </c>
      <c r="I48" s="92" t="s">
        <v>112</v>
      </c>
      <c r="J48" s="81">
        <v>5.9373425E7</v>
      </c>
      <c r="K48" s="93">
        <v>4335000.0</v>
      </c>
      <c r="L48" s="94">
        <v>45721.0</v>
      </c>
      <c r="M48" s="95"/>
    </row>
    <row r="49">
      <c r="A49" s="77">
        <v>49.0</v>
      </c>
      <c r="B49" s="78" t="s">
        <v>4193</v>
      </c>
      <c r="C49" s="79">
        <v>2.0251700014743E13</v>
      </c>
      <c r="D49" s="78" t="s">
        <v>4268</v>
      </c>
      <c r="E49" s="78" t="s">
        <v>148</v>
      </c>
      <c r="F49" s="81" t="s">
        <v>4196</v>
      </c>
      <c r="G49" s="82">
        <v>1.033684312E9</v>
      </c>
      <c r="H49" s="78" t="s">
        <v>4108</v>
      </c>
      <c r="I49" s="92" t="s">
        <v>4269</v>
      </c>
      <c r="J49" s="81">
        <v>5.7671425E7</v>
      </c>
      <c r="K49" s="93">
        <v>8997450.0</v>
      </c>
      <c r="L49" s="94">
        <v>45720.0</v>
      </c>
      <c r="M49" s="95"/>
    </row>
    <row r="50">
      <c r="A50" s="77">
        <v>50.0</v>
      </c>
      <c r="B50" s="78" t="s">
        <v>4193</v>
      </c>
      <c r="C50" s="96">
        <v>2.0251610014613E13</v>
      </c>
      <c r="D50" s="78" t="s">
        <v>4270</v>
      </c>
      <c r="E50" s="78" t="s">
        <v>87</v>
      </c>
      <c r="F50" s="81" t="s">
        <v>4196</v>
      </c>
      <c r="G50" s="82">
        <v>1.02078112E9</v>
      </c>
      <c r="H50" s="78" t="s">
        <v>4087</v>
      </c>
      <c r="I50" s="92" t="s">
        <v>294</v>
      </c>
      <c r="J50" s="81">
        <v>6.5875425E7</v>
      </c>
      <c r="K50" s="93">
        <v>7942200.0</v>
      </c>
      <c r="L50" s="94">
        <v>45726.0</v>
      </c>
      <c r="M50" s="95"/>
    </row>
    <row r="51">
      <c r="A51" s="77">
        <v>51.0</v>
      </c>
      <c r="B51" s="78" t="s">
        <v>4193</v>
      </c>
      <c r="C51" s="79">
        <v>2.0251610014603E13</v>
      </c>
      <c r="D51" s="78" t="s">
        <v>4271</v>
      </c>
      <c r="E51" s="78" t="s">
        <v>758</v>
      </c>
      <c r="F51" s="81" t="s">
        <v>4196</v>
      </c>
      <c r="G51" s="82">
        <v>1.026592381E9</v>
      </c>
      <c r="H51" s="78" t="s">
        <v>4272</v>
      </c>
      <c r="I51" s="92" t="s">
        <v>294</v>
      </c>
      <c r="J51" s="81">
        <v>6.5875525E7</v>
      </c>
      <c r="K51" s="93">
        <v>2956905.0</v>
      </c>
      <c r="L51" s="94">
        <v>45726.0</v>
      </c>
      <c r="M51" s="95"/>
    </row>
    <row r="52">
      <c r="A52" s="77">
        <v>52.0</v>
      </c>
      <c r="B52" s="78" t="s">
        <v>4193</v>
      </c>
      <c r="C52" s="79">
        <v>2.0251510014763E13</v>
      </c>
      <c r="D52" s="78" t="s">
        <v>4273</v>
      </c>
      <c r="E52" s="78" t="s">
        <v>865</v>
      </c>
      <c r="F52" s="81" t="s">
        <v>4196</v>
      </c>
      <c r="G52" s="82">
        <v>8.085303E7</v>
      </c>
      <c r="H52" s="78" t="s">
        <v>4274</v>
      </c>
      <c r="I52" s="92" t="s">
        <v>4275</v>
      </c>
      <c r="J52" s="81">
        <v>6.2009625E7</v>
      </c>
      <c r="K52" s="93">
        <v>6580500.0</v>
      </c>
      <c r="L52" s="94">
        <v>45722.0</v>
      </c>
      <c r="M52" s="95"/>
    </row>
    <row r="53">
      <c r="A53" s="77">
        <v>53.0</v>
      </c>
      <c r="B53" s="78" t="s">
        <v>4193</v>
      </c>
      <c r="C53" s="79">
        <v>2.0251900014773E13</v>
      </c>
      <c r="D53" s="78" t="s">
        <v>4276</v>
      </c>
      <c r="E53" s="78" t="s">
        <v>4277</v>
      </c>
      <c r="F53" s="81" t="s">
        <v>4196</v>
      </c>
      <c r="G53" s="82">
        <v>1.032465103E9</v>
      </c>
      <c r="H53" s="78" t="s">
        <v>4278</v>
      </c>
      <c r="I53" s="92" t="s">
        <v>1207</v>
      </c>
      <c r="J53" s="81">
        <v>6.2008825E7</v>
      </c>
      <c r="K53" s="93">
        <v>4000000.0</v>
      </c>
      <c r="L53" s="94">
        <v>45722.0</v>
      </c>
      <c r="M53" s="95"/>
    </row>
    <row r="54">
      <c r="A54" s="77">
        <v>54.0</v>
      </c>
      <c r="B54" s="78" t="s">
        <v>4193</v>
      </c>
      <c r="C54" s="79">
        <v>2.0251510014783E13</v>
      </c>
      <c r="D54" s="78" t="s">
        <v>4279</v>
      </c>
      <c r="E54" s="78" t="s">
        <v>4280</v>
      </c>
      <c r="F54" s="81" t="s">
        <v>4196</v>
      </c>
      <c r="G54" s="82">
        <v>1.030634155E9</v>
      </c>
      <c r="H54" s="78" t="s">
        <v>4281</v>
      </c>
      <c r="I54" s="92" t="s">
        <v>4275</v>
      </c>
      <c r="J54" s="81">
        <v>6.0248325E7</v>
      </c>
      <c r="K54" s="93">
        <v>7370160.0</v>
      </c>
      <c r="L54" s="94">
        <v>45721.0</v>
      </c>
      <c r="M54" s="95"/>
    </row>
    <row r="55">
      <c r="A55" s="77">
        <v>55.0</v>
      </c>
      <c r="B55" s="78" t="s">
        <v>4193</v>
      </c>
      <c r="C55" s="79">
        <v>2.0251800014813E13</v>
      </c>
      <c r="D55" s="78" t="s">
        <v>4282</v>
      </c>
      <c r="E55" s="78" t="s">
        <v>454</v>
      </c>
      <c r="F55" s="81" t="s">
        <v>4196</v>
      </c>
      <c r="G55" s="82">
        <v>1.05377392E9</v>
      </c>
      <c r="H55" s="78" t="s">
        <v>3989</v>
      </c>
      <c r="I55" s="92" t="s">
        <v>4283</v>
      </c>
      <c r="J55" s="81">
        <v>6.2009125E7</v>
      </c>
      <c r="K55" s="93">
        <v>5930000.0</v>
      </c>
      <c r="L55" s="94">
        <v>45722.0</v>
      </c>
      <c r="M55" s="95"/>
    </row>
    <row r="56">
      <c r="A56" s="77">
        <v>56.0</v>
      </c>
      <c r="B56" s="78" t="s">
        <v>4193</v>
      </c>
      <c r="C56" s="79">
        <v>2.0251530014823E13</v>
      </c>
      <c r="D56" s="78" t="s">
        <v>4284</v>
      </c>
      <c r="E56" s="78" t="s">
        <v>347</v>
      </c>
      <c r="F56" s="81" t="s">
        <v>4196</v>
      </c>
      <c r="G56" s="82">
        <v>1.09872233E9</v>
      </c>
      <c r="H56" s="78" t="s">
        <v>3922</v>
      </c>
      <c r="I56" s="92" t="s">
        <v>352</v>
      </c>
      <c r="J56" s="81">
        <v>6.2008925E7</v>
      </c>
      <c r="K56" s="93">
        <v>7866500.0</v>
      </c>
      <c r="L56" s="94">
        <v>45722.0</v>
      </c>
      <c r="M56" s="95"/>
    </row>
    <row r="57">
      <c r="A57" s="77">
        <v>57.0</v>
      </c>
      <c r="B57" s="78" t="s">
        <v>4193</v>
      </c>
      <c r="C57" s="79">
        <v>2.0251900014863E13</v>
      </c>
      <c r="D57" s="78" t="s">
        <v>4285</v>
      </c>
      <c r="E57" s="78" t="s">
        <v>4286</v>
      </c>
      <c r="F57" s="81" t="s">
        <v>4196</v>
      </c>
      <c r="G57" s="82">
        <v>1.030564407E9</v>
      </c>
      <c r="H57" s="78" t="s">
        <v>4287</v>
      </c>
      <c r="I57" s="92" t="s">
        <v>222</v>
      </c>
      <c r="J57" s="81">
        <v>6.2008325E7</v>
      </c>
      <c r="K57" s="93">
        <v>7100000.0</v>
      </c>
      <c r="L57" s="94">
        <v>45722.0</v>
      </c>
      <c r="M57" s="95"/>
    </row>
    <row r="58">
      <c r="A58" s="77">
        <v>58.0</v>
      </c>
      <c r="B58" s="78" t="s">
        <v>4193</v>
      </c>
      <c r="C58" s="79">
        <v>2.0251300014903E13</v>
      </c>
      <c r="D58" s="78" t="s">
        <v>4288</v>
      </c>
      <c r="E58" s="78" t="s">
        <v>505</v>
      </c>
      <c r="F58" s="81" t="s">
        <v>4196</v>
      </c>
      <c r="G58" s="82">
        <v>7183875.0</v>
      </c>
      <c r="H58" s="78" t="s">
        <v>4002</v>
      </c>
      <c r="I58" s="92" t="s">
        <v>509</v>
      </c>
      <c r="J58" s="81">
        <v>6.5578625E7</v>
      </c>
      <c r="K58" s="93">
        <v>7500000.0</v>
      </c>
      <c r="L58" s="94">
        <v>45726.0</v>
      </c>
      <c r="M58" s="95"/>
    </row>
    <row r="59">
      <c r="A59" s="77">
        <v>59.0</v>
      </c>
      <c r="B59" s="78" t="s">
        <v>4193</v>
      </c>
      <c r="C59" s="79">
        <v>2.0251500014923E13</v>
      </c>
      <c r="D59" s="78" t="s">
        <v>4289</v>
      </c>
      <c r="E59" s="78" t="s">
        <v>342</v>
      </c>
      <c r="F59" s="81" t="s">
        <v>4196</v>
      </c>
      <c r="G59" s="82">
        <v>1.143855242E9</v>
      </c>
      <c r="H59" s="78" t="s">
        <v>4004</v>
      </c>
      <c r="I59" s="92" t="s">
        <v>4290</v>
      </c>
      <c r="J59" s="81">
        <v>6.2008225E7</v>
      </c>
      <c r="K59" s="93">
        <v>4332600.0</v>
      </c>
      <c r="L59" s="94">
        <v>45722.0</v>
      </c>
      <c r="M59" s="95"/>
    </row>
    <row r="60">
      <c r="A60" s="77">
        <v>60.0</v>
      </c>
      <c r="B60" s="78" t="s">
        <v>4193</v>
      </c>
      <c r="C60" s="79">
        <v>2.0251140014933E13</v>
      </c>
      <c r="D60" s="78" t="s">
        <v>4291</v>
      </c>
      <c r="E60" s="78" t="s">
        <v>69</v>
      </c>
      <c r="F60" s="81" t="s">
        <v>4196</v>
      </c>
      <c r="G60" s="82" t="s">
        <v>37</v>
      </c>
      <c r="H60" s="78" t="s">
        <v>4043</v>
      </c>
      <c r="I60" s="92" t="s">
        <v>4292</v>
      </c>
      <c r="J60" s="81">
        <v>6.2008525E7</v>
      </c>
      <c r="K60" s="93">
        <v>6000000.0</v>
      </c>
      <c r="L60" s="94">
        <v>45722.0</v>
      </c>
      <c r="M60" s="95"/>
    </row>
    <row r="61">
      <c r="A61" s="77">
        <v>61.0</v>
      </c>
      <c r="B61" s="78" t="s">
        <v>4193</v>
      </c>
      <c r="C61" s="79">
        <v>2.0251110014943E13</v>
      </c>
      <c r="D61" s="78" t="s">
        <v>4293</v>
      </c>
      <c r="E61" s="78" t="s">
        <v>363</v>
      </c>
      <c r="F61" s="81" t="s">
        <v>4196</v>
      </c>
      <c r="G61" s="82">
        <v>5.1568567E7</v>
      </c>
      <c r="H61" s="78" t="s">
        <v>3977</v>
      </c>
      <c r="I61" s="92" t="s">
        <v>2596</v>
      </c>
      <c r="J61" s="81">
        <v>6.2088825E7</v>
      </c>
      <c r="K61" s="93">
        <v>6726760.0</v>
      </c>
      <c r="L61" s="94">
        <v>45722.0</v>
      </c>
      <c r="M61" s="95"/>
    </row>
    <row r="62">
      <c r="A62" s="77">
        <v>62.0</v>
      </c>
      <c r="B62" s="78" t="s">
        <v>4193</v>
      </c>
      <c r="C62" s="96">
        <v>2.0251020014873E13</v>
      </c>
      <c r="D62" s="78" t="s">
        <v>4294</v>
      </c>
      <c r="E62" s="78" t="s">
        <v>2770</v>
      </c>
      <c r="F62" s="81" t="s">
        <v>4196</v>
      </c>
      <c r="G62" s="82">
        <v>1.233490485E9</v>
      </c>
      <c r="H62" s="78" t="s">
        <v>4160</v>
      </c>
      <c r="I62" s="92" t="s">
        <v>4295</v>
      </c>
      <c r="J62" s="81">
        <v>6.9437125E7</v>
      </c>
      <c r="K62" s="93">
        <v>5000000.0</v>
      </c>
      <c r="L62" s="94">
        <v>45728.0</v>
      </c>
      <c r="M62" s="95"/>
    </row>
    <row r="63">
      <c r="A63" s="77">
        <v>63.0</v>
      </c>
      <c r="B63" s="78" t="s">
        <v>4193</v>
      </c>
      <c r="C63" s="79">
        <v>2.0251020014883E13</v>
      </c>
      <c r="D63" s="78" t="s">
        <v>4296</v>
      </c>
      <c r="E63" s="78" t="s">
        <v>542</v>
      </c>
      <c r="F63" s="81" t="s">
        <v>4196</v>
      </c>
      <c r="G63" s="82">
        <v>1.026299983E9</v>
      </c>
      <c r="H63" s="78" t="s">
        <v>4096</v>
      </c>
      <c r="I63" s="92" t="s">
        <v>4295</v>
      </c>
      <c r="J63" s="81">
        <v>6.5876525E7</v>
      </c>
      <c r="K63" s="93">
        <v>6615000.0</v>
      </c>
      <c r="L63" s="94">
        <v>45726.0</v>
      </c>
      <c r="M63" s="95"/>
    </row>
    <row r="64">
      <c r="A64" s="77">
        <v>64.0</v>
      </c>
      <c r="B64" s="78" t="s">
        <v>4193</v>
      </c>
      <c r="C64" s="79">
        <v>2.0251110014953E13</v>
      </c>
      <c r="D64" s="78" t="s">
        <v>4297</v>
      </c>
      <c r="E64" s="78" t="s">
        <v>750</v>
      </c>
      <c r="F64" s="81" t="s">
        <v>4196</v>
      </c>
      <c r="G64" s="82">
        <v>1.110503697E9</v>
      </c>
      <c r="H64" s="78" t="s">
        <v>4298</v>
      </c>
      <c r="I64" s="92" t="s">
        <v>2596</v>
      </c>
      <c r="J64" s="81">
        <v>6.9435625E7</v>
      </c>
      <c r="K64" s="93">
        <v>3035760.0</v>
      </c>
      <c r="L64" s="94">
        <v>45728.0</v>
      </c>
      <c r="M64" s="95"/>
    </row>
    <row r="65">
      <c r="A65" s="77">
        <v>65.0</v>
      </c>
      <c r="B65" s="78" t="s">
        <v>4193</v>
      </c>
      <c r="C65" s="79">
        <v>2.0251610014373E13</v>
      </c>
      <c r="D65" s="78" t="s">
        <v>4299</v>
      </c>
      <c r="E65" s="78" t="s">
        <v>314</v>
      </c>
      <c r="F65" s="81" t="s">
        <v>4196</v>
      </c>
      <c r="G65" s="82">
        <v>1.019009968E9</v>
      </c>
      <c r="H65" s="78" t="s">
        <v>4036</v>
      </c>
      <c r="I65" s="92" t="s">
        <v>318</v>
      </c>
      <c r="J65" s="81">
        <v>5.7937125E7</v>
      </c>
      <c r="K65" s="93">
        <v>1.321376E7</v>
      </c>
      <c r="L65" s="94">
        <v>45720.0</v>
      </c>
      <c r="M65" s="95"/>
    </row>
    <row r="66">
      <c r="A66" s="77">
        <v>66.0</v>
      </c>
      <c r="B66" s="78" t="s">
        <v>4193</v>
      </c>
      <c r="C66" s="79">
        <v>2.0251610014423E13</v>
      </c>
      <c r="D66" s="78" t="s">
        <v>4300</v>
      </c>
      <c r="E66" s="78" t="s">
        <v>320</v>
      </c>
      <c r="F66" s="81" t="s">
        <v>4196</v>
      </c>
      <c r="G66" s="82">
        <v>5.2866537E7</v>
      </c>
      <c r="H66" s="78" t="s">
        <v>4020</v>
      </c>
      <c r="I66" s="92" t="s">
        <v>318</v>
      </c>
      <c r="J66" s="81">
        <v>5.7903825E7</v>
      </c>
      <c r="K66" s="93">
        <v>1.04181E7</v>
      </c>
      <c r="L66" s="94">
        <v>45720.0</v>
      </c>
      <c r="M66" s="95"/>
    </row>
    <row r="67">
      <c r="A67" s="77">
        <v>67.0</v>
      </c>
      <c r="B67" s="78" t="s">
        <v>4193</v>
      </c>
      <c r="C67" s="79">
        <v>2.0251610014433E13</v>
      </c>
      <c r="D67" s="78" t="s">
        <v>4301</v>
      </c>
      <c r="E67" s="78" t="s">
        <v>353</v>
      </c>
      <c r="F67" s="81" t="s">
        <v>4196</v>
      </c>
      <c r="G67" s="82">
        <v>1.018453844E9</v>
      </c>
      <c r="H67" s="78" t="s">
        <v>4017</v>
      </c>
      <c r="I67" s="92" t="s">
        <v>318</v>
      </c>
      <c r="J67" s="81">
        <v>5.9347425E7</v>
      </c>
      <c r="K67" s="93">
        <v>1.04181E7</v>
      </c>
      <c r="L67" s="94">
        <v>45721.0</v>
      </c>
      <c r="M67" s="95"/>
    </row>
    <row r="68">
      <c r="A68" s="77">
        <v>68.0</v>
      </c>
      <c r="B68" s="78" t="s">
        <v>4193</v>
      </c>
      <c r="C68" s="79">
        <v>2.0251700014973E13</v>
      </c>
      <c r="D68" s="78" t="s">
        <v>4302</v>
      </c>
      <c r="E68" s="78" t="s">
        <v>629</v>
      </c>
      <c r="F68" s="81" t="s">
        <v>4196</v>
      </c>
      <c r="G68" s="82">
        <v>5.3000155E7</v>
      </c>
      <c r="H68" s="78" t="s">
        <v>4303</v>
      </c>
      <c r="I68" s="92" t="s">
        <v>744</v>
      </c>
      <c r="J68" s="81">
        <v>5.9386125E7</v>
      </c>
      <c r="K68" s="93">
        <v>1.04181E7</v>
      </c>
      <c r="L68" s="94">
        <v>45721.0</v>
      </c>
      <c r="M68" s="95"/>
    </row>
    <row r="69">
      <c r="A69" s="77">
        <v>69.0</v>
      </c>
      <c r="B69" s="78" t="s">
        <v>4193</v>
      </c>
      <c r="C69" s="79">
        <v>2.0251610014733E13</v>
      </c>
      <c r="D69" s="78" t="s">
        <v>4304</v>
      </c>
      <c r="E69" s="78" t="s">
        <v>309</v>
      </c>
      <c r="F69" s="81" t="s">
        <v>4196</v>
      </c>
      <c r="G69" s="82">
        <v>1.08829271E9</v>
      </c>
      <c r="H69" s="78" t="s">
        <v>4077</v>
      </c>
      <c r="I69" s="92" t="s">
        <v>294</v>
      </c>
      <c r="J69" s="81">
        <v>5.9349525E7</v>
      </c>
      <c r="K69" s="93">
        <v>8353800.0</v>
      </c>
      <c r="L69" s="94">
        <v>45721.0</v>
      </c>
      <c r="M69" s="95"/>
    </row>
    <row r="70">
      <c r="A70" s="77">
        <v>70.0</v>
      </c>
      <c r="B70" s="78" t="s">
        <v>4193</v>
      </c>
      <c r="C70" s="96">
        <v>2.0251610014413E13</v>
      </c>
      <c r="D70" s="78" t="s">
        <v>4305</v>
      </c>
      <c r="E70" s="78" t="s">
        <v>118</v>
      </c>
      <c r="F70" s="81" t="s">
        <v>4196</v>
      </c>
      <c r="G70" s="82">
        <v>1.014280937E9</v>
      </c>
      <c r="H70" s="78" t="s">
        <v>4009</v>
      </c>
      <c r="I70" s="92" t="s">
        <v>561</v>
      </c>
      <c r="J70" s="81">
        <v>6.5875725E7</v>
      </c>
      <c r="K70" s="93">
        <v>3285450.0</v>
      </c>
      <c r="L70" s="94">
        <v>45726.0</v>
      </c>
      <c r="M70" s="95"/>
    </row>
    <row r="71">
      <c r="A71" s="77">
        <v>71.0</v>
      </c>
      <c r="B71" s="78" t="s">
        <v>4193</v>
      </c>
      <c r="C71" s="79">
        <v>2.0251610014723E13</v>
      </c>
      <c r="D71" s="78" t="s">
        <v>4306</v>
      </c>
      <c r="E71" s="78" t="s">
        <v>740</v>
      </c>
      <c r="F71" s="81" t="s">
        <v>4196</v>
      </c>
      <c r="G71" s="82">
        <v>1.193095704E9</v>
      </c>
      <c r="H71" s="78" t="s">
        <v>4307</v>
      </c>
      <c r="I71" s="92" t="s">
        <v>294</v>
      </c>
      <c r="J71" s="81">
        <v>6.5875825E7</v>
      </c>
      <c r="K71" s="93">
        <v>2956905.0</v>
      </c>
      <c r="L71" s="94">
        <v>45726.0</v>
      </c>
      <c r="M71" s="95"/>
    </row>
    <row r="72">
      <c r="A72" s="77">
        <v>72.0</v>
      </c>
      <c r="B72" s="78" t="s">
        <v>4193</v>
      </c>
      <c r="C72" s="79">
        <v>2.0251610014753E13</v>
      </c>
      <c r="D72" s="78" t="s">
        <v>4308</v>
      </c>
      <c r="E72" s="78" t="s">
        <v>4309</v>
      </c>
      <c r="F72" s="81" t="s">
        <v>4196</v>
      </c>
      <c r="G72" s="82">
        <v>7.97447E7</v>
      </c>
      <c r="H72" s="78" t="s">
        <v>4310</v>
      </c>
      <c r="I72" s="92" t="s">
        <v>318</v>
      </c>
      <c r="J72" s="81">
        <v>6.1872825E7</v>
      </c>
      <c r="K72" s="93">
        <v>1.320781E7</v>
      </c>
      <c r="L72" s="94">
        <v>45722.0</v>
      </c>
      <c r="M72" s="95"/>
    </row>
    <row r="73">
      <c r="A73" s="77">
        <v>73.0</v>
      </c>
      <c r="B73" s="78" t="s">
        <v>4193</v>
      </c>
      <c r="C73" s="79">
        <v>2.0251800014913E13</v>
      </c>
      <c r="D73" s="78" t="s">
        <v>4311</v>
      </c>
      <c r="E73" s="78" t="s">
        <v>2777</v>
      </c>
      <c r="F73" s="81" t="s">
        <v>4196</v>
      </c>
      <c r="G73" s="82">
        <v>1.073384272E9</v>
      </c>
      <c r="H73" s="78" t="s">
        <v>4054</v>
      </c>
      <c r="I73" s="92" t="s">
        <v>4312</v>
      </c>
      <c r="J73" s="81">
        <v>6.2009425E7</v>
      </c>
      <c r="K73" s="93">
        <v>5473000.0</v>
      </c>
      <c r="L73" s="94">
        <v>45722.0</v>
      </c>
      <c r="M73" s="95"/>
    </row>
    <row r="74">
      <c r="A74" s="77">
        <v>74.0</v>
      </c>
      <c r="B74" s="78" t="s">
        <v>4193</v>
      </c>
      <c r="C74" s="79">
        <v>2.0251510015023E13</v>
      </c>
      <c r="D74" s="78" t="s">
        <v>4313</v>
      </c>
      <c r="E74" s="78" t="s">
        <v>668</v>
      </c>
      <c r="F74" s="81" t="s">
        <v>4196</v>
      </c>
      <c r="G74" s="82">
        <v>1.032463587E9</v>
      </c>
      <c r="H74" s="78" t="s">
        <v>4314</v>
      </c>
      <c r="I74" s="92" t="s">
        <v>4315</v>
      </c>
      <c r="J74" s="81">
        <v>6.2009825E7</v>
      </c>
      <c r="K74" s="93">
        <v>6580500.0</v>
      </c>
      <c r="L74" s="94">
        <v>45722.0</v>
      </c>
      <c r="M74" s="95"/>
    </row>
    <row r="75">
      <c r="A75" s="77">
        <v>75.0</v>
      </c>
      <c r="B75" s="78" t="s">
        <v>4193</v>
      </c>
      <c r="C75" s="79">
        <v>2.0251510015033E13</v>
      </c>
      <c r="D75" s="78" t="s">
        <v>4316</v>
      </c>
      <c r="E75" s="78" t="s">
        <v>1134</v>
      </c>
      <c r="F75" s="81" t="s">
        <v>4196</v>
      </c>
      <c r="G75" s="82">
        <v>1.002537103E9</v>
      </c>
      <c r="H75" s="78" t="s">
        <v>4317</v>
      </c>
      <c r="I75" s="92" t="s">
        <v>4315</v>
      </c>
      <c r="J75" s="81">
        <v>6.2010425E7</v>
      </c>
      <c r="K75" s="93">
        <v>379470.0</v>
      </c>
      <c r="L75" s="94">
        <v>45722.0</v>
      </c>
      <c r="M75" s="95"/>
    </row>
    <row r="76">
      <c r="A76" s="77">
        <v>76.0</v>
      </c>
      <c r="B76" s="78" t="s">
        <v>4193</v>
      </c>
      <c r="C76" s="79">
        <v>2.0251020015043E13</v>
      </c>
      <c r="D76" s="78" t="s">
        <v>4318</v>
      </c>
      <c r="E76" s="78" t="s">
        <v>2828</v>
      </c>
      <c r="F76" s="81" t="s">
        <v>4196</v>
      </c>
      <c r="G76" s="82">
        <v>5.2382217E7</v>
      </c>
      <c r="H76" s="78" t="s">
        <v>4174</v>
      </c>
      <c r="I76" s="92" t="s">
        <v>4319</v>
      </c>
      <c r="J76" s="81">
        <v>6.2009925E7</v>
      </c>
      <c r="K76" s="93">
        <v>6240000.0</v>
      </c>
      <c r="L76" s="94">
        <v>45722.0</v>
      </c>
      <c r="M76" s="95"/>
    </row>
    <row r="77">
      <c r="A77" s="77">
        <v>77.0</v>
      </c>
      <c r="B77" s="78" t="s">
        <v>4193</v>
      </c>
      <c r="C77" s="79">
        <v>2.0251610014793E13</v>
      </c>
      <c r="D77" s="78" t="s">
        <v>4320</v>
      </c>
      <c r="E77" s="78" t="s">
        <v>780</v>
      </c>
      <c r="F77" s="81" t="s">
        <v>3944</v>
      </c>
      <c r="G77" s="82">
        <v>761786.0</v>
      </c>
      <c r="H77" s="78" t="s">
        <v>4321</v>
      </c>
      <c r="I77" s="92" t="s">
        <v>561</v>
      </c>
      <c r="J77" s="81">
        <v>6.5876125E7</v>
      </c>
      <c r="K77" s="93">
        <v>2847390.0</v>
      </c>
      <c r="L77" s="94">
        <v>45726.0</v>
      </c>
      <c r="M77" s="95"/>
    </row>
    <row r="78">
      <c r="A78" s="77">
        <v>78.0</v>
      </c>
      <c r="B78" s="78" t="s">
        <v>4193</v>
      </c>
      <c r="C78" s="79">
        <v>2.0251610014803E13</v>
      </c>
      <c r="D78" s="78" t="s">
        <v>4322</v>
      </c>
      <c r="E78" s="78" t="s">
        <v>775</v>
      </c>
      <c r="F78" s="81" t="s">
        <v>4196</v>
      </c>
      <c r="G78" s="82">
        <v>1.053826184E9</v>
      </c>
      <c r="H78" s="78" t="s">
        <v>4323</v>
      </c>
      <c r="I78" s="92" t="s">
        <v>561</v>
      </c>
      <c r="J78" s="81">
        <v>6.5876225E7</v>
      </c>
      <c r="K78" s="93">
        <v>3025750.0</v>
      </c>
      <c r="L78" s="94">
        <v>45726.0</v>
      </c>
      <c r="M78" s="95"/>
    </row>
    <row r="79">
      <c r="A79" s="77">
        <v>79.0</v>
      </c>
      <c r="B79" s="78" t="s">
        <v>4193</v>
      </c>
      <c r="C79" s="79">
        <v>2.0251700014893E13</v>
      </c>
      <c r="D79" s="78" t="s">
        <v>4324</v>
      </c>
      <c r="E79" s="78" t="s">
        <v>806</v>
      </c>
      <c r="F79" s="81" t="s">
        <v>4196</v>
      </c>
      <c r="G79" s="82">
        <v>1.018472611E9</v>
      </c>
      <c r="H79" s="78" t="s">
        <v>4325</v>
      </c>
      <c r="I79" s="92" t="s">
        <v>4326</v>
      </c>
      <c r="J79" s="81">
        <v>6.2084325E7</v>
      </c>
      <c r="K79" s="93">
        <v>8334480.0</v>
      </c>
      <c r="L79" s="94">
        <v>45722.0</v>
      </c>
      <c r="M79" s="95"/>
    </row>
    <row r="80">
      <c r="A80" s="77">
        <v>80.0</v>
      </c>
      <c r="B80" s="78" t="s">
        <v>4193</v>
      </c>
      <c r="C80" s="79">
        <v>2.0251020015063E13</v>
      </c>
      <c r="D80" s="78" t="s">
        <v>4327</v>
      </c>
      <c r="E80" s="78" t="s">
        <v>2619</v>
      </c>
      <c r="F80" s="81" t="s">
        <v>4196</v>
      </c>
      <c r="G80" s="82">
        <v>5.2734728E7</v>
      </c>
      <c r="H80" s="78" t="s">
        <v>4100</v>
      </c>
      <c r="I80" s="92" t="s">
        <v>4319</v>
      </c>
      <c r="J80" s="81">
        <v>6.5590125E7</v>
      </c>
      <c r="K80" s="93">
        <v>3299450.0</v>
      </c>
      <c r="L80" s="94">
        <v>45726.0</v>
      </c>
      <c r="M80" s="95"/>
    </row>
    <row r="81">
      <c r="A81" s="77">
        <v>81.0</v>
      </c>
      <c r="B81" s="78" t="s">
        <v>4193</v>
      </c>
      <c r="C81" s="79">
        <v>2.0251020015093E13</v>
      </c>
      <c r="D81" s="78" t="s">
        <v>4328</v>
      </c>
      <c r="E81" s="78" t="s">
        <v>908</v>
      </c>
      <c r="F81" s="81" t="s">
        <v>4196</v>
      </c>
      <c r="G81" s="82">
        <v>1.0207309E9</v>
      </c>
      <c r="H81" s="78" t="s">
        <v>4329</v>
      </c>
      <c r="I81" s="92" t="s">
        <v>1232</v>
      </c>
      <c r="J81" s="81">
        <v>6.3162025E7</v>
      </c>
      <c r="K81" s="93">
        <v>9289040.0</v>
      </c>
      <c r="L81" s="94">
        <v>45723.0</v>
      </c>
      <c r="M81" s="95"/>
    </row>
    <row r="82">
      <c r="A82" s="77">
        <v>82.0</v>
      </c>
      <c r="B82" s="78" t="s">
        <v>4193</v>
      </c>
      <c r="C82" s="79">
        <v>2.0251530015103E13</v>
      </c>
      <c r="D82" s="78" t="s">
        <v>4330</v>
      </c>
      <c r="E82" s="78" t="s">
        <v>870</v>
      </c>
      <c r="F82" s="81" t="s">
        <v>4196</v>
      </c>
      <c r="G82" s="82">
        <v>1.019038567E9</v>
      </c>
      <c r="H82" s="78" t="s">
        <v>4331</v>
      </c>
      <c r="I82" s="92" t="s">
        <v>352</v>
      </c>
      <c r="J82" s="81">
        <v>6.3167925E7</v>
      </c>
      <c r="K82" s="93">
        <v>4816667.0</v>
      </c>
      <c r="L82" s="94">
        <v>45723.0</v>
      </c>
      <c r="M82" s="95"/>
    </row>
    <row r="83">
      <c r="A83" s="77">
        <v>83.0</v>
      </c>
      <c r="B83" s="78" t="s">
        <v>4193</v>
      </c>
      <c r="C83" s="79">
        <v>2.0251800015113E13</v>
      </c>
      <c r="D83" s="78" t="s">
        <v>4332</v>
      </c>
      <c r="E83" s="78" t="s">
        <v>448</v>
      </c>
      <c r="F83" s="81" t="s">
        <v>4196</v>
      </c>
      <c r="G83" s="82">
        <v>4.209482E7</v>
      </c>
      <c r="H83" s="78" t="s">
        <v>3961</v>
      </c>
      <c r="I83" s="92" t="s">
        <v>4333</v>
      </c>
      <c r="J83" s="81">
        <v>6.5593925E7</v>
      </c>
      <c r="K83" s="93">
        <v>8569000.0</v>
      </c>
      <c r="L83" s="94">
        <v>45726.0</v>
      </c>
      <c r="M83" s="95"/>
    </row>
    <row r="84">
      <c r="A84" s="77">
        <v>84.0</v>
      </c>
      <c r="B84" s="78" t="s">
        <v>4193</v>
      </c>
      <c r="C84" s="79">
        <v>2.0251500015123E13</v>
      </c>
      <c r="D84" s="78" t="s">
        <v>4334</v>
      </c>
      <c r="E84" s="78" t="s">
        <v>766</v>
      </c>
      <c r="F84" s="81" t="s">
        <v>4196</v>
      </c>
      <c r="G84" s="82">
        <v>1.078371849E9</v>
      </c>
      <c r="H84" s="78" t="s">
        <v>4335</v>
      </c>
      <c r="I84" s="92" t="s">
        <v>4336</v>
      </c>
      <c r="J84" s="81">
        <v>6.0162125E7</v>
      </c>
      <c r="K84" s="93">
        <v>3382650.0</v>
      </c>
      <c r="L84" s="94">
        <v>45721.0</v>
      </c>
      <c r="M84" s="95"/>
    </row>
    <row r="85">
      <c r="A85" s="77">
        <v>85.0</v>
      </c>
      <c r="B85" s="78" t="s">
        <v>4193</v>
      </c>
      <c r="C85" s="79">
        <v>2.0251020015143E13</v>
      </c>
      <c r="D85" s="78" t="s">
        <v>4337</v>
      </c>
      <c r="E85" s="78" t="s">
        <v>2821</v>
      </c>
      <c r="F85" s="81" t="s">
        <v>4196</v>
      </c>
      <c r="G85" s="82">
        <v>1.04962724E9</v>
      </c>
      <c r="H85" s="78" t="s">
        <v>4176</v>
      </c>
      <c r="I85" s="92" t="s">
        <v>4319</v>
      </c>
      <c r="J85" s="81">
        <v>5.9365225E7</v>
      </c>
      <c r="K85" s="93">
        <v>6260650.0</v>
      </c>
      <c r="L85" s="94">
        <v>45721.0</v>
      </c>
      <c r="M85" s="95"/>
    </row>
    <row r="86">
      <c r="A86" s="77">
        <v>86.0</v>
      </c>
      <c r="B86" s="78" t="s">
        <v>4193</v>
      </c>
      <c r="C86" s="79">
        <v>2.0251800015153E13</v>
      </c>
      <c r="D86" s="78" t="s">
        <v>4338</v>
      </c>
      <c r="E86" s="78" t="s">
        <v>538</v>
      </c>
      <c r="F86" s="81" t="s">
        <v>4196</v>
      </c>
      <c r="G86" s="82">
        <v>8.7949267E7</v>
      </c>
      <c r="H86" s="78" t="s">
        <v>4172</v>
      </c>
      <c r="I86" s="92" t="s">
        <v>4339</v>
      </c>
      <c r="J86" s="81">
        <v>5.9371225E7</v>
      </c>
      <c r="K86" s="93">
        <v>4026000.0</v>
      </c>
      <c r="L86" s="94">
        <v>45721.0</v>
      </c>
      <c r="M86" s="95"/>
    </row>
    <row r="87">
      <c r="A87" s="77">
        <v>87.0</v>
      </c>
      <c r="B87" s="78" t="s">
        <v>4193</v>
      </c>
      <c r="C87" s="79">
        <v>2.0251020015163E13</v>
      </c>
      <c r="D87" s="78" t="s">
        <v>4340</v>
      </c>
      <c r="E87" s="78" t="s">
        <v>253</v>
      </c>
      <c r="F87" s="81" t="s">
        <v>4196</v>
      </c>
      <c r="G87" s="82">
        <v>1.018492802E9</v>
      </c>
      <c r="H87" s="78" t="s">
        <v>3938</v>
      </c>
      <c r="I87" s="92" t="s">
        <v>1232</v>
      </c>
      <c r="J87" s="81">
        <v>5.9361125E7</v>
      </c>
      <c r="K87" s="93">
        <v>9585500.0</v>
      </c>
      <c r="L87" s="94">
        <v>45721.0</v>
      </c>
      <c r="M87" s="95"/>
    </row>
    <row r="88">
      <c r="A88" s="77">
        <v>88.0</v>
      </c>
      <c r="B88" s="78" t="s">
        <v>4193</v>
      </c>
      <c r="C88" s="79">
        <v>2.0251900015213E13</v>
      </c>
      <c r="D88" s="78" t="s">
        <v>4341</v>
      </c>
      <c r="E88" s="78" t="s">
        <v>826</v>
      </c>
      <c r="F88" s="81" t="s">
        <v>4196</v>
      </c>
      <c r="G88" s="82">
        <v>1.098826619E9</v>
      </c>
      <c r="H88" s="78" t="s">
        <v>4342</v>
      </c>
      <c r="I88" s="92" t="s">
        <v>779</v>
      </c>
      <c r="J88" s="81">
        <v>6.2009025E7</v>
      </c>
      <c r="K88" s="93">
        <v>4800000.0</v>
      </c>
      <c r="L88" s="94">
        <v>45722.0</v>
      </c>
      <c r="M88" s="95"/>
    </row>
    <row r="89">
      <c r="A89" s="77">
        <v>89.0</v>
      </c>
      <c r="B89" s="78" t="s">
        <v>4193</v>
      </c>
      <c r="C89" s="79">
        <v>2.0251020015183E13</v>
      </c>
      <c r="D89" s="78" t="s">
        <v>4343</v>
      </c>
      <c r="E89" s="78" t="s">
        <v>735</v>
      </c>
      <c r="F89" s="81" t="s">
        <v>4196</v>
      </c>
      <c r="G89" s="82">
        <v>1.121891311E9</v>
      </c>
      <c r="H89" s="78" t="s">
        <v>4344</v>
      </c>
      <c r="I89" s="92" t="s">
        <v>4295</v>
      </c>
      <c r="J89" s="81">
        <v>6.5876425E7</v>
      </c>
      <c r="K89" s="93">
        <v>8280000.0</v>
      </c>
      <c r="L89" s="94">
        <v>45726.0</v>
      </c>
      <c r="M89" s="95"/>
    </row>
    <row r="90">
      <c r="A90" s="77">
        <v>90.0</v>
      </c>
      <c r="B90" s="78" t="s">
        <v>4193</v>
      </c>
      <c r="C90" s="79">
        <v>2.0251100015013E13</v>
      </c>
      <c r="D90" s="78" t="s">
        <v>4345</v>
      </c>
      <c r="E90" s="78" t="s">
        <v>43</v>
      </c>
      <c r="F90" s="81" t="s">
        <v>4196</v>
      </c>
      <c r="G90" s="82">
        <v>3.7279138E7</v>
      </c>
      <c r="H90" s="78" t="s">
        <v>3983</v>
      </c>
      <c r="I90" s="92" t="s">
        <v>2039</v>
      </c>
      <c r="J90" s="81">
        <v>5.9388025E7</v>
      </c>
      <c r="K90" s="93">
        <v>1.1E7</v>
      </c>
      <c r="L90" s="94">
        <v>45721.0</v>
      </c>
      <c r="M90" s="95"/>
    </row>
    <row r="91">
      <c r="A91" s="77">
        <v>91.0</v>
      </c>
      <c r="B91" s="78" t="s">
        <v>4193</v>
      </c>
      <c r="C91" s="79">
        <v>2.0251020015243E13</v>
      </c>
      <c r="D91" s="78" t="s">
        <v>4346</v>
      </c>
      <c r="E91" s="78" t="s">
        <v>4347</v>
      </c>
      <c r="F91" s="81" t="s">
        <v>4196</v>
      </c>
      <c r="G91" s="82">
        <v>1.110461441E9</v>
      </c>
      <c r="H91" s="78" t="s">
        <v>4348</v>
      </c>
      <c r="I91" s="92" t="s">
        <v>4319</v>
      </c>
      <c r="J91" s="81">
        <v>6.2081325E7</v>
      </c>
      <c r="K91" s="93">
        <v>8274000.0</v>
      </c>
      <c r="L91" s="94">
        <v>45722.0</v>
      </c>
      <c r="M91" s="95"/>
    </row>
    <row r="92">
      <c r="A92" s="77">
        <v>92.0</v>
      </c>
      <c r="B92" s="78" t="s">
        <v>4193</v>
      </c>
      <c r="C92" s="79">
        <v>2.0251700015253E13</v>
      </c>
      <c r="D92" s="78" t="s">
        <v>4349</v>
      </c>
      <c r="E92" s="78" t="s">
        <v>1025</v>
      </c>
      <c r="F92" s="81" t="s">
        <v>4196</v>
      </c>
      <c r="G92" s="82">
        <v>1.018481914E9</v>
      </c>
      <c r="H92" s="78" t="s">
        <v>4350</v>
      </c>
      <c r="I92" s="92" t="s">
        <v>4351</v>
      </c>
      <c r="J92" s="81">
        <v>6.5562825E7</v>
      </c>
      <c r="K92" s="93">
        <v>3831100.0</v>
      </c>
      <c r="L92" s="94">
        <v>45726.0</v>
      </c>
      <c r="M92" s="95"/>
    </row>
    <row r="93">
      <c r="A93" s="77">
        <v>93.0</v>
      </c>
      <c r="B93" s="78" t="s">
        <v>4193</v>
      </c>
      <c r="C93" s="79">
        <v>2.0251500015313E13</v>
      </c>
      <c r="D93" s="78" t="s">
        <v>4352</v>
      </c>
      <c r="E93" s="78" t="s">
        <v>602</v>
      </c>
      <c r="F93" s="81" t="s">
        <v>4196</v>
      </c>
      <c r="G93" s="82">
        <v>1.032461718E9</v>
      </c>
      <c r="H93" s="78" t="s">
        <v>4353</v>
      </c>
      <c r="I93" s="92" t="s">
        <v>4354</v>
      </c>
      <c r="J93" s="81">
        <v>6.2010525E7</v>
      </c>
      <c r="K93" s="93">
        <v>7296600.0</v>
      </c>
      <c r="L93" s="94">
        <v>45722.0</v>
      </c>
      <c r="M93" s="95"/>
    </row>
    <row r="94">
      <c r="A94" s="77">
        <v>94.0</v>
      </c>
      <c r="B94" s="78" t="s">
        <v>4193</v>
      </c>
      <c r="C94" s="79">
        <v>2.0251120015333E13</v>
      </c>
      <c r="D94" s="78" t="s">
        <v>4355</v>
      </c>
      <c r="E94" s="78" t="s">
        <v>525</v>
      </c>
      <c r="F94" s="81" t="s">
        <v>4196</v>
      </c>
      <c r="G94" s="82">
        <v>7687651.0</v>
      </c>
      <c r="H94" s="78" t="s">
        <v>3965</v>
      </c>
      <c r="I94" s="92" t="s">
        <v>4356</v>
      </c>
      <c r="J94" s="81">
        <v>6.2010625E7</v>
      </c>
      <c r="K94" s="93">
        <v>7366800.0</v>
      </c>
      <c r="L94" s="94">
        <v>45722.0</v>
      </c>
      <c r="M94" s="95"/>
    </row>
    <row r="95">
      <c r="A95" s="77">
        <v>95.0</v>
      </c>
      <c r="B95" s="78" t="s">
        <v>4193</v>
      </c>
      <c r="C95" s="79">
        <v>2.0251300016713E13</v>
      </c>
      <c r="D95" s="78" t="s">
        <v>4357</v>
      </c>
      <c r="E95" s="78" t="s">
        <v>460</v>
      </c>
      <c r="F95" s="81" t="s">
        <v>4196</v>
      </c>
      <c r="G95" s="82">
        <v>9.323712E7</v>
      </c>
      <c r="H95" s="78" t="s">
        <v>4073</v>
      </c>
      <c r="I95" s="92" t="s">
        <v>4358</v>
      </c>
      <c r="J95" s="81">
        <v>6.7628825E7</v>
      </c>
      <c r="K95" s="93">
        <v>8000000.0</v>
      </c>
      <c r="L95" s="94">
        <v>45727.0</v>
      </c>
      <c r="M95" s="95"/>
    </row>
    <row r="96">
      <c r="A96" s="77">
        <v>97.0</v>
      </c>
      <c r="B96" s="78" t="s">
        <v>4193</v>
      </c>
      <c r="C96" s="79">
        <v>2.0251610015283E13</v>
      </c>
      <c r="D96" s="78" t="s">
        <v>4359</v>
      </c>
      <c r="E96" s="78" t="s">
        <v>159</v>
      </c>
      <c r="F96" s="81" t="s">
        <v>4196</v>
      </c>
      <c r="G96" s="82">
        <v>1.018456896E9</v>
      </c>
      <c r="H96" s="78" t="s">
        <v>4050</v>
      </c>
      <c r="I96" s="92" t="s">
        <v>4360</v>
      </c>
      <c r="J96" s="81">
        <v>6.9436625E7</v>
      </c>
      <c r="K96" s="93">
        <v>8650000.0</v>
      </c>
      <c r="L96" s="94">
        <v>45728.0</v>
      </c>
      <c r="M96" s="95"/>
    </row>
    <row r="97">
      <c r="A97" s="77">
        <v>99.0</v>
      </c>
      <c r="B97" s="78" t="s">
        <v>4193</v>
      </c>
      <c r="C97" s="79">
        <v>2.0251500015353E13</v>
      </c>
      <c r="D97" s="78" t="s">
        <v>4361</v>
      </c>
      <c r="E97" s="78" t="s">
        <v>4362</v>
      </c>
      <c r="F97" s="81" t="s">
        <v>4196</v>
      </c>
      <c r="G97" s="82">
        <v>1.070963356E9</v>
      </c>
      <c r="H97" s="78" t="s">
        <v>4363</v>
      </c>
      <c r="I97" s="92" t="s">
        <v>912</v>
      </c>
      <c r="J97" s="81">
        <v>6.3174125E7</v>
      </c>
      <c r="K97" s="93">
        <v>7296600.0</v>
      </c>
      <c r="L97" s="94">
        <v>45723.0</v>
      </c>
      <c r="M97" s="95"/>
    </row>
    <row r="98">
      <c r="A98" s="77">
        <v>100.0</v>
      </c>
      <c r="B98" s="78" t="s">
        <v>4193</v>
      </c>
      <c r="C98" s="79">
        <v>2.0251000015363E13</v>
      </c>
      <c r="D98" s="78" t="s">
        <v>4364</v>
      </c>
      <c r="E98" s="78" t="s">
        <v>785</v>
      </c>
      <c r="F98" s="81" t="s">
        <v>4196</v>
      </c>
      <c r="G98" s="82">
        <v>1.007688013E9</v>
      </c>
      <c r="H98" s="78" t="s">
        <v>4365</v>
      </c>
      <c r="I98" s="92" t="s">
        <v>410</v>
      </c>
      <c r="J98" s="81">
        <v>6.3177125E7</v>
      </c>
      <c r="K98" s="93">
        <v>2990000.0</v>
      </c>
      <c r="L98" s="94">
        <v>45723.0</v>
      </c>
      <c r="M98" s="95"/>
    </row>
    <row r="99">
      <c r="A99" s="77">
        <v>101.0</v>
      </c>
      <c r="B99" s="78" t="s">
        <v>4193</v>
      </c>
      <c r="C99" s="79">
        <v>2.0251000015373E13</v>
      </c>
      <c r="D99" s="78" t="s">
        <v>4366</v>
      </c>
      <c r="E99" s="78" t="s">
        <v>406</v>
      </c>
      <c r="F99" s="81" t="s">
        <v>4196</v>
      </c>
      <c r="G99" s="82">
        <v>1.032504965E9</v>
      </c>
      <c r="H99" s="78" t="s">
        <v>4116</v>
      </c>
      <c r="I99" s="92" t="s">
        <v>410</v>
      </c>
      <c r="J99" s="81">
        <v>6.5581725E7</v>
      </c>
      <c r="K99" s="93">
        <v>4227300.0</v>
      </c>
      <c r="L99" s="94">
        <v>45726.0</v>
      </c>
      <c r="M99" s="95"/>
    </row>
    <row r="100">
      <c r="A100" s="77">
        <v>102.0</v>
      </c>
      <c r="B100" s="78" t="s">
        <v>4193</v>
      </c>
      <c r="C100" s="79">
        <v>2.0251500015383E13</v>
      </c>
      <c r="D100" s="78" t="s">
        <v>4367</v>
      </c>
      <c r="E100" s="78" t="s">
        <v>882</v>
      </c>
      <c r="F100" s="81" t="s">
        <v>4196</v>
      </c>
      <c r="G100" s="82">
        <v>1.001185909E9</v>
      </c>
      <c r="H100" s="78" t="s">
        <v>4368</v>
      </c>
      <c r="I100" s="92" t="s">
        <v>4369</v>
      </c>
      <c r="J100" s="81">
        <v>6.3182125E7</v>
      </c>
      <c r="K100" s="93">
        <v>2603280.0</v>
      </c>
      <c r="L100" s="94">
        <v>45723.0</v>
      </c>
      <c r="M100" s="95"/>
    </row>
    <row r="101">
      <c r="A101" s="77">
        <v>103.0</v>
      </c>
      <c r="B101" s="78" t="s">
        <v>4193</v>
      </c>
      <c r="C101" s="79">
        <v>2.0251700015393E13</v>
      </c>
      <c r="D101" s="78" t="s">
        <v>4370</v>
      </c>
      <c r="E101" s="78" t="s">
        <v>634</v>
      </c>
      <c r="F101" s="81" t="s">
        <v>4196</v>
      </c>
      <c r="G101" s="82">
        <v>5.2016453E7</v>
      </c>
      <c r="H101" s="78" t="s">
        <v>4371</v>
      </c>
      <c r="I101" s="92" t="s">
        <v>4372</v>
      </c>
      <c r="J101" s="81">
        <v>6.3184325E7</v>
      </c>
      <c r="K101" s="93">
        <v>8997450.0</v>
      </c>
      <c r="L101" s="94">
        <v>45723.0</v>
      </c>
      <c r="M101" s="95"/>
    </row>
    <row r="102">
      <c r="A102" s="77">
        <v>104.0</v>
      </c>
      <c r="B102" s="78" t="s">
        <v>4193</v>
      </c>
      <c r="C102" s="79">
        <v>2.0251700015403E13</v>
      </c>
      <c r="D102" s="78" t="s">
        <v>4373</v>
      </c>
      <c r="E102" s="78" t="s">
        <v>1065</v>
      </c>
      <c r="F102" s="81" t="s">
        <v>4196</v>
      </c>
      <c r="G102" s="82">
        <v>1.128431532E9</v>
      </c>
      <c r="H102" s="78" t="s">
        <v>4374</v>
      </c>
      <c r="I102" s="92" t="s">
        <v>410</v>
      </c>
      <c r="J102" s="81">
        <v>6.2079525E7</v>
      </c>
      <c r="K102" s="93">
        <v>3500000.0</v>
      </c>
      <c r="L102" s="94">
        <v>45722.0</v>
      </c>
      <c r="M102" s="95"/>
    </row>
    <row r="103">
      <c r="A103" s="77">
        <v>105.0</v>
      </c>
      <c r="B103" s="78" t="s">
        <v>4193</v>
      </c>
      <c r="C103" s="79">
        <v>2.0251530015413E13</v>
      </c>
      <c r="D103" s="78" t="s">
        <v>4375</v>
      </c>
      <c r="E103" s="78" t="s">
        <v>890</v>
      </c>
      <c r="F103" s="81" t="s">
        <v>4196</v>
      </c>
      <c r="G103" s="82">
        <v>1.010198057E9</v>
      </c>
      <c r="H103" s="78" t="s">
        <v>4376</v>
      </c>
      <c r="I103" s="92" t="s">
        <v>973</v>
      </c>
      <c r="J103" s="81">
        <v>6.1872925E7</v>
      </c>
      <c r="K103" s="93">
        <v>4442200.0</v>
      </c>
      <c r="L103" s="94">
        <v>45722.0</v>
      </c>
      <c r="M103" s="95"/>
    </row>
    <row r="104">
      <c r="A104" s="77">
        <v>106.0</v>
      </c>
      <c r="B104" s="78" t="s">
        <v>4193</v>
      </c>
      <c r="C104" s="79">
        <v>2.0251700015433E13</v>
      </c>
      <c r="D104" s="78" t="s">
        <v>4377</v>
      </c>
      <c r="E104" s="78" t="s">
        <v>385</v>
      </c>
      <c r="F104" s="81" t="s">
        <v>4196</v>
      </c>
      <c r="G104" s="82">
        <v>1.018487193E9</v>
      </c>
      <c r="H104" s="78" t="s">
        <v>4135</v>
      </c>
      <c r="I104" s="92" t="s">
        <v>4378</v>
      </c>
      <c r="J104" s="81">
        <v>5.9394625E7</v>
      </c>
      <c r="K104" s="93">
        <v>1.04181E7</v>
      </c>
      <c r="L104" s="94">
        <v>45721.0</v>
      </c>
      <c r="M104" s="95"/>
    </row>
    <row r="105">
      <c r="A105" s="77">
        <v>107.0</v>
      </c>
      <c r="B105" s="78" t="s">
        <v>4193</v>
      </c>
      <c r="C105" s="79">
        <v>2.0251020015173E13</v>
      </c>
      <c r="D105" s="78" t="s">
        <v>4379</v>
      </c>
      <c r="E105" s="78" t="s">
        <v>380</v>
      </c>
      <c r="F105" s="81" t="s">
        <v>4196</v>
      </c>
      <c r="G105" s="82">
        <v>1.016081819E9</v>
      </c>
      <c r="H105" s="78" t="s">
        <v>3949</v>
      </c>
      <c r="I105" s="92" t="s">
        <v>1232</v>
      </c>
      <c r="J105" s="97">
        <v>6.0224825E7</v>
      </c>
      <c r="K105" s="93">
        <v>1.04181E7</v>
      </c>
      <c r="L105" s="94">
        <v>45721.0</v>
      </c>
      <c r="M105" s="95"/>
    </row>
    <row r="106">
      <c r="A106" s="77">
        <v>108.0</v>
      </c>
      <c r="B106" s="78" t="s">
        <v>4193</v>
      </c>
      <c r="C106" s="79">
        <v>2.0251510015503E13</v>
      </c>
      <c r="D106" s="78" t="s">
        <v>4380</v>
      </c>
      <c r="E106" s="78" t="s">
        <v>690</v>
      </c>
      <c r="F106" s="81" t="s">
        <v>4196</v>
      </c>
      <c r="G106" s="82">
        <v>1.072714553E9</v>
      </c>
      <c r="H106" s="78" t="s">
        <v>4381</v>
      </c>
      <c r="I106" s="92" t="s">
        <v>4315</v>
      </c>
      <c r="J106" s="81">
        <v>6.0239525E7</v>
      </c>
      <c r="K106" s="93">
        <v>7370160.0</v>
      </c>
      <c r="L106" s="94">
        <v>45721.0</v>
      </c>
      <c r="M106" s="95"/>
    </row>
    <row r="107">
      <c r="A107" s="77">
        <v>109.0</v>
      </c>
      <c r="B107" s="78" t="s">
        <v>4193</v>
      </c>
      <c r="C107" s="79">
        <v>2.0251110015423E13</v>
      </c>
      <c r="D107" s="78" t="s">
        <v>4382</v>
      </c>
      <c r="E107" s="78" t="s">
        <v>141</v>
      </c>
      <c r="F107" s="81" t="s">
        <v>4196</v>
      </c>
      <c r="G107" s="82">
        <v>5.2215231E7</v>
      </c>
      <c r="H107" s="78" t="s">
        <v>3963</v>
      </c>
      <c r="I107" s="92" t="s">
        <v>4383</v>
      </c>
      <c r="J107" s="81">
        <v>6.9233325E7</v>
      </c>
      <c r="K107" s="93">
        <v>7436960.0</v>
      </c>
      <c r="L107" s="94">
        <v>45728.0</v>
      </c>
      <c r="M107" s="95"/>
    </row>
    <row r="108">
      <c r="A108" s="77">
        <v>110.0</v>
      </c>
      <c r="B108" s="78" t="s">
        <v>4193</v>
      </c>
      <c r="C108" s="79">
        <v>2.0251020015483E13</v>
      </c>
      <c r="D108" s="78" t="s">
        <v>4384</v>
      </c>
      <c r="E108" s="78" t="s">
        <v>4385</v>
      </c>
      <c r="F108" s="81" t="s">
        <v>4196</v>
      </c>
      <c r="G108" s="82">
        <v>1.024476225E9</v>
      </c>
      <c r="H108" s="78" t="s">
        <v>4386</v>
      </c>
      <c r="I108" s="92" t="s">
        <v>4295</v>
      </c>
      <c r="J108" s="81">
        <v>7.2358025E7</v>
      </c>
      <c r="K108" s="93">
        <v>3729880.0</v>
      </c>
      <c r="L108" s="94">
        <v>45733.0</v>
      </c>
      <c r="M108" s="95"/>
    </row>
    <row r="109">
      <c r="A109" s="77">
        <v>111.0</v>
      </c>
      <c r="B109" s="78" t="s">
        <v>4193</v>
      </c>
      <c r="C109" s="79">
        <v>2.0251020015523E13</v>
      </c>
      <c r="D109" s="78" t="s">
        <v>4387</v>
      </c>
      <c r="E109" s="78" t="s">
        <v>658</v>
      </c>
      <c r="F109" s="81" t="s">
        <v>4196</v>
      </c>
      <c r="G109" s="82">
        <v>7.9598641E7</v>
      </c>
      <c r="H109" s="78" t="s">
        <v>4388</v>
      </c>
      <c r="I109" s="92" t="s">
        <v>4295</v>
      </c>
      <c r="J109" s="81">
        <v>7.2359025E7</v>
      </c>
      <c r="K109" s="93">
        <v>8569000.0</v>
      </c>
      <c r="L109" s="94">
        <v>45733.0</v>
      </c>
      <c r="M109" s="95"/>
    </row>
    <row r="110">
      <c r="A110" s="77">
        <v>112.0</v>
      </c>
      <c r="B110" s="78" t="s">
        <v>4193</v>
      </c>
      <c r="C110" s="79">
        <v>2.0251800015563E13</v>
      </c>
      <c r="D110" s="78" t="s">
        <v>4389</v>
      </c>
      <c r="E110" s="78" t="s">
        <v>224</v>
      </c>
      <c r="F110" s="81" t="s">
        <v>4196</v>
      </c>
      <c r="G110" s="82">
        <v>1.073512831E9</v>
      </c>
      <c r="H110" s="78" t="s">
        <v>3930</v>
      </c>
      <c r="I110" s="92" t="s">
        <v>4390</v>
      </c>
      <c r="J110" s="81">
        <v>6.5442225E7</v>
      </c>
      <c r="K110" s="93">
        <v>8569000.0</v>
      </c>
      <c r="L110" s="94">
        <v>45726.0</v>
      </c>
      <c r="M110" s="95"/>
    </row>
    <row r="111">
      <c r="A111" s="77">
        <v>113.0</v>
      </c>
      <c r="B111" s="78" t="s">
        <v>4193</v>
      </c>
      <c r="C111" s="79">
        <v>2.0251300015593E13</v>
      </c>
      <c r="D111" s="78" t="s">
        <v>4391</v>
      </c>
      <c r="E111" s="78" t="s">
        <v>333</v>
      </c>
      <c r="F111" s="81" t="s">
        <v>4196</v>
      </c>
      <c r="G111" s="82">
        <v>8.0027001E7</v>
      </c>
      <c r="H111" s="78" t="s">
        <v>3985</v>
      </c>
      <c r="I111" s="92" t="s">
        <v>4392</v>
      </c>
      <c r="J111" s="81">
        <v>7.6588325E7</v>
      </c>
      <c r="K111" s="93">
        <v>7000000.0</v>
      </c>
      <c r="L111" s="94">
        <v>45735.0</v>
      </c>
      <c r="M111" s="95"/>
    </row>
    <row r="112">
      <c r="A112" s="77">
        <v>114.0</v>
      </c>
      <c r="B112" s="78" t="s">
        <v>4193</v>
      </c>
      <c r="C112" s="79">
        <v>2.0251800015643E13</v>
      </c>
      <c r="D112" s="78" t="s">
        <v>4393</v>
      </c>
      <c r="E112" s="78" t="s">
        <v>485</v>
      </c>
      <c r="F112" s="81" t="s">
        <v>4196</v>
      </c>
      <c r="G112" s="82">
        <v>7.4130577E7</v>
      </c>
      <c r="H112" s="78" t="s">
        <v>4131</v>
      </c>
      <c r="I112" s="92" t="s">
        <v>4333</v>
      </c>
      <c r="J112" s="81">
        <v>6.5450925E7</v>
      </c>
      <c r="K112" s="93">
        <v>8569000.0</v>
      </c>
      <c r="L112" s="94">
        <v>45726.0</v>
      </c>
      <c r="M112" s="95"/>
    </row>
    <row r="113">
      <c r="A113" s="77">
        <v>116.0</v>
      </c>
      <c r="B113" s="78" t="s">
        <v>4193</v>
      </c>
      <c r="C113" s="79">
        <v>2.0251300015683E13</v>
      </c>
      <c r="D113" s="78" t="s">
        <v>4394</v>
      </c>
      <c r="E113" s="78" t="s">
        <v>443</v>
      </c>
      <c r="F113" s="81" t="s">
        <v>4196</v>
      </c>
      <c r="G113" s="82">
        <v>1.2129602E7</v>
      </c>
      <c r="H113" s="78" t="s">
        <v>3997</v>
      </c>
      <c r="I113" s="92" t="s">
        <v>4358</v>
      </c>
      <c r="J113" s="81">
        <v>6.3224025E7</v>
      </c>
      <c r="K113" s="93">
        <v>1.0575E7</v>
      </c>
      <c r="L113" s="94">
        <v>45723.0</v>
      </c>
      <c r="M113" s="95"/>
    </row>
    <row r="114">
      <c r="A114" s="77">
        <v>117.0</v>
      </c>
      <c r="B114" s="78" t="s">
        <v>4193</v>
      </c>
      <c r="C114" s="79">
        <v>2.0251610014983E13</v>
      </c>
      <c r="D114" s="78" t="s">
        <v>4395</v>
      </c>
      <c r="E114" s="78" t="s">
        <v>295</v>
      </c>
      <c r="F114" s="81" t="s">
        <v>4196</v>
      </c>
      <c r="G114" s="82">
        <v>1.004754082E9</v>
      </c>
      <c r="H114" s="78" t="s">
        <v>4038</v>
      </c>
      <c r="I114" s="92" t="s">
        <v>170</v>
      </c>
      <c r="J114" s="81">
        <v>7.2359125E7</v>
      </c>
      <c r="K114" s="93">
        <v>3285450.0</v>
      </c>
      <c r="L114" s="94">
        <v>45733.0</v>
      </c>
      <c r="M114" s="95"/>
    </row>
    <row r="115">
      <c r="A115" s="77">
        <v>118.0</v>
      </c>
      <c r="B115" s="78" t="s">
        <v>4193</v>
      </c>
      <c r="C115" s="79">
        <v>2.0251610014993E13</v>
      </c>
      <c r="D115" s="78" t="s">
        <v>4396</v>
      </c>
      <c r="E115" s="78" t="s">
        <v>166</v>
      </c>
      <c r="F115" s="81" t="s">
        <v>4196</v>
      </c>
      <c r="G115" s="82">
        <v>1.026586964E9</v>
      </c>
      <c r="H115" s="78" t="s">
        <v>4028</v>
      </c>
      <c r="I115" s="92" t="s">
        <v>170</v>
      </c>
      <c r="J115" s="81">
        <v>6.9435825E7</v>
      </c>
      <c r="K115" s="93">
        <v>4374300.0</v>
      </c>
      <c r="L115" s="94">
        <v>45728.0</v>
      </c>
      <c r="M115" s="95"/>
    </row>
    <row r="116">
      <c r="A116" s="77">
        <v>119.0</v>
      </c>
      <c r="B116" s="78" t="s">
        <v>4193</v>
      </c>
      <c r="C116" s="79">
        <v>2.0251610015003E13</v>
      </c>
      <c r="D116" s="78" t="s">
        <v>4397</v>
      </c>
      <c r="E116" s="78" t="s">
        <v>4030</v>
      </c>
      <c r="F116" s="81" t="s">
        <v>4196</v>
      </c>
      <c r="G116" s="82">
        <v>1.02235787E9</v>
      </c>
      <c r="H116" s="78" t="s">
        <v>4031</v>
      </c>
      <c r="I116" s="92" t="s">
        <v>170</v>
      </c>
      <c r="J116" s="81">
        <v>6.9436825E7</v>
      </c>
      <c r="K116" s="93">
        <v>6663300.0</v>
      </c>
      <c r="L116" s="94">
        <v>45728.0</v>
      </c>
      <c r="M116" s="95"/>
    </row>
    <row r="117">
      <c r="A117" s="77">
        <v>120.0</v>
      </c>
      <c r="B117" s="78" t="s">
        <v>4193</v>
      </c>
      <c r="C117" s="79">
        <v>2.0251610015053E13</v>
      </c>
      <c r="D117" s="78" t="s">
        <v>4398</v>
      </c>
      <c r="E117" s="78" t="s">
        <v>290</v>
      </c>
      <c r="F117" s="81" t="s">
        <v>4196</v>
      </c>
      <c r="G117" s="82">
        <v>1.014183131E9</v>
      </c>
      <c r="H117" s="78" t="s">
        <v>4102</v>
      </c>
      <c r="I117" s="92" t="s">
        <v>294</v>
      </c>
      <c r="J117" s="81">
        <v>6.9436125E7</v>
      </c>
      <c r="K117" s="93">
        <v>7942200.0</v>
      </c>
      <c r="L117" s="94">
        <v>45728.0</v>
      </c>
      <c r="M117" s="95"/>
    </row>
    <row r="118">
      <c r="A118" s="77">
        <v>121.0</v>
      </c>
      <c r="B118" s="78" t="s">
        <v>4193</v>
      </c>
      <c r="C118" s="79">
        <v>2.0251610015073E13</v>
      </c>
      <c r="D118" s="78" t="s">
        <v>4399</v>
      </c>
      <c r="E118" s="78" t="s">
        <v>1021</v>
      </c>
      <c r="F118" s="81" t="s">
        <v>4196</v>
      </c>
      <c r="G118" s="82">
        <v>1.03242089E9</v>
      </c>
      <c r="H118" s="78" t="s">
        <v>4400</v>
      </c>
      <c r="I118" s="92" t="s">
        <v>170</v>
      </c>
      <c r="J118" s="81">
        <v>6.9436925E7</v>
      </c>
      <c r="K118" s="93">
        <v>5478333.0</v>
      </c>
      <c r="L118" s="94">
        <v>45728.0</v>
      </c>
      <c r="M118" s="95"/>
    </row>
    <row r="119">
      <c r="A119" s="77">
        <v>122.0</v>
      </c>
      <c r="B119" s="78" t="s">
        <v>4193</v>
      </c>
      <c r="C119" s="79">
        <v>2.0251610015083E13</v>
      </c>
      <c r="D119" s="78" t="s">
        <v>4401</v>
      </c>
      <c r="E119" s="78" t="s">
        <v>1080</v>
      </c>
      <c r="F119" s="81" t="s">
        <v>4196</v>
      </c>
      <c r="G119" s="82">
        <v>5.2958449E7</v>
      </c>
      <c r="H119" s="78" t="s">
        <v>4402</v>
      </c>
      <c r="I119" s="92" t="s">
        <v>170</v>
      </c>
      <c r="J119" s="81">
        <v>6.9437025E7</v>
      </c>
      <c r="K119" s="93">
        <v>5098555.0</v>
      </c>
      <c r="L119" s="94">
        <v>45728.0</v>
      </c>
      <c r="M119" s="95"/>
    </row>
    <row r="120">
      <c r="A120" s="77">
        <v>123.0</v>
      </c>
      <c r="B120" s="78" t="s">
        <v>4193</v>
      </c>
      <c r="C120" s="79">
        <v>2.0251610015603E13</v>
      </c>
      <c r="D120" s="78" t="s">
        <v>4403</v>
      </c>
      <c r="E120" s="78" t="s">
        <v>1013</v>
      </c>
      <c r="F120" s="81" t="s">
        <v>4196</v>
      </c>
      <c r="G120" s="82">
        <v>1.032445678E9</v>
      </c>
      <c r="H120" s="78" t="s">
        <v>4404</v>
      </c>
      <c r="I120" s="92" t="s">
        <v>561</v>
      </c>
      <c r="J120" s="81">
        <v>6.9436225E7</v>
      </c>
      <c r="K120" s="93">
        <v>3735900.0</v>
      </c>
      <c r="L120" s="94">
        <v>45728.0</v>
      </c>
      <c r="M120" s="95"/>
    </row>
    <row r="121">
      <c r="A121" s="77">
        <v>124.0</v>
      </c>
      <c r="B121" s="78" t="s">
        <v>4193</v>
      </c>
      <c r="C121" s="79">
        <v>2.0251610015513E13</v>
      </c>
      <c r="D121" s="78" t="s">
        <v>4405</v>
      </c>
      <c r="E121" s="78" t="s">
        <v>212</v>
      </c>
      <c r="F121" s="81" t="s">
        <v>4196</v>
      </c>
      <c r="G121" s="82">
        <v>1.193447899E9</v>
      </c>
      <c r="H121" s="78" t="s">
        <v>4026</v>
      </c>
      <c r="I121" s="92" t="s">
        <v>217</v>
      </c>
      <c r="J121" s="81">
        <v>6.9436325E7</v>
      </c>
      <c r="K121" s="93">
        <v>3285450.0</v>
      </c>
      <c r="L121" s="94">
        <v>45728.0</v>
      </c>
      <c r="M121" s="95"/>
    </row>
    <row r="122">
      <c r="A122" s="77">
        <v>125.0</v>
      </c>
      <c r="B122" s="78" t="s">
        <v>4193</v>
      </c>
      <c r="C122" s="79">
        <v>2.0251610015533E13</v>
      </c>
      <c r="D122" s="78" t="s">
        <v>4406</v>
      </c>
      <c r="E122" s="78" t="s">
        <v>1045</v>
      </c>
      <c r="F122" s="81" t="s">
        <v>4196</v>
      </c>
      <c r="G122" s="82">
        <v>1.007387735E9</v>
      </c>
      <c r="H122" s="78" t="s">
        <v>4407</v>
      </c>
      <c r="I122" s="92" t="s">
        <v>217</v>
      </c>
      <c r="J122" s="81">
        <v>6.9436725E7</v>
      </c>
      <c r="K122" s="93">
        <v>1971270.0</v>
      </c>
      <c r="L122" s="94">
        <v>45728.0</v>
      </c>
      <c r="M122" s="95"/>
    </row>
    <row r="123">
      <c r="A123" s="77">
        <v>126.0</v>
      </c>
      <c r="B123" s="78" t="s">
        <v>4193</v>
      </c>
      <c r="C123" s="79">
        <v>2.0251500015693E13</v>
      </c>
      <c r="D123" s="78" t="s">
        <v>4408</v>
      </c>
      <c r="E123" s="78" t="s">
        <v>183</v>
      </c>
      <c r="F123" s="81" t="s">
        <v>4196</v>
      </c>
      <c r="G123" s="82">
        <v>1.024471867E9</v>
      </c>
      <c r="H123" s="78" t="s">
        <v>4089</v>
      </c>
      <c r="I123" s="92" t="s">
        <v>181</v>
      </c>
      <c r="J123" s="81">
        <v>6.3187425E7</v>
      </c>
      <c r="K123" s="93">
        <v>8911500.0</v>
      </c>
      <c r="L123" s="94">
        <v>45723.0</v>
      </c>
      <c r="M123" s="95"/>
    </row>
    <row r="124">
      <c r="A124" s="77">
        <v>127.0</v>
      </c>
      <c r="B124" s="78" t="s">
        <v>4193</v>
      </c>
      <c r="C124" s="79">
        <v>2.0251500015703E13</v>
      </c>
      <c r="D124" s="78" t="s">
        <v>4409</v>
      </c>
      <c r="E124" s="78" t="s">
        <v>4410</v>
      </c>
      <c r="F124" s="81" t="s">
        <v>4196</v>
      </c>
      <c r="G124" s="82">
        <v>1.052394569E9</v>
      </c>
      <c r="H124" s="78" t="s">
        <v>4411</v>
      </c>
      <c r="I124" s="92" t="s">
        <v>4412</v>
      </c>
      <c r="J124" s="81">
        <v>6.5458125E7</v>
      </c>
      <c r="K124" s="93">
        <v>7296600.0</v>
      </c>
      <c r="L124" s="94">
        <v>45726.0</v>
      </c>
      <c r="M124" s="95"/>
    </row>
    <row r="125">
      <c r="A125" s="77">
        <v>128.0</v>
      </c>
      <c r="B125" s="78" t="s">
        <v>4193</v>
      </c>
      <c r="C125" s="79">
        <v>2.0251500015713E13</v>
      </c>
      <c r="D125" s="78" t="s">
        <v>4413</v>
      </c>
      <c r="E125" s="78" t="s">
        <v>4414</v>
      </c>
      <c r="F125" s="81" t="s">
        <v>4196</v>
      </c>
      <c r="G125" s="82">
        <v>1.128424536E9</v>
      </c>
      <c r="H125" s="78" t="s">
        <v>4415</v>
      </c>
      <c r="I125" s="92" t="s">
        <v>717</v>
      </c>
      <c r="J125" s="81">
        <v>6.3220725E7</v>
      </c>
      <c r="K125" s="93">
        <v>7296600.0</v>
      </c>
      <c r="L125" s="94">
        <v>45723.0</v>
      </c>
      <c r="M125" s="95"/>
    </row>
    <row r="126">
      <c r="A126" s="77">
        <v>129.0</v>
      </c>
      <c r="B126" s="78" t="s">
        <v>4193</v>
      </c>
      <c r="C126" s="79">
        <v>2.0251500015733E13</v>
      </c>
      <c r="D126" s="78" t="s">
        <v>4416</v>
      </c>
      <c r="E126" s="78" t="s">
        <v>177</v>
      </c>
      <c r="F126" s="81" t="s">
        <v>4196</v>
      </c>
      <c r="G126" s="82">
        <v>5.3040784E7</v>
      </c>
      <c r="H126" s="78" t="s">
        <v>4058</v>
      </c>
      <c r="I126" s="92" t="s">
        <v>181</v>
      </c>
      <c r="J126" s="81">
        <v>6.7439925E7</v>
      </c>
      <c r="K126" s="93">
        <v>8911500.0</v>
      </c>
      <c r="L126" s="94">
        <v>45727.0</v>
      </c>
      <c r="M126" s="95"/>
    </row>
    <row r="127">
      <c r="A127" s="77">
        <v>130.0</v>
      </c>
      <c r="B127" s="78" t="s">
        <v>4193</v>
      </c>
      <c r="C127" s="79">
        <v>2.0251900015753E13</v>
      </c>
      <c r="D127" s="78" t="s">
        <v>4417</v>
      </c>
      <c r="E127" s="78" t="s">
        <v>681</v>
      </c>
      <c r="F127" s="81" t="s">
        <v>4196</v>
      </c>
      <c r="G127" s="82">
        <v>5.2181636E7</v>
      </c>
      <c r="H127" s="78" t="s">
        <v>4418</v>
      </c>
      <c r="I127" s="92" t="s">
        <v>222</v>
      </c>
      <c r="J127" s="81">
        <v>6.7610425E7</v>
      </c>
      <c r="K127" s="93">
        <v>6933333.33</v>
      </c>
      <c r="L127" s="94">
        <v>45727.0</v>
      </c>
      <c r="M127" s="95"/>
    </row>
    <row r="128">
      <c r="A128" s="77">
        <v>131.0</v>
      </c>
      <c r="B128" s="78" t="s">
        <v>4193</v>
      </c>
      <c r="C128" s="79">
        <v>2.0251610015543E13</v>
      </c>
      <c r="D128" s="78" t="s">
        <v>4419</v>
      </c>
      <c r="E128" s="78" t="s">
        <v>677</v>
      </c>
      <c r="F128" s="81" t="s">
        <v>4196</v>
      </c>
      <c r="G128" s="82">
        <v>1.098822094E9</v>
      </c>
      <c r="H128" s="78" t="s">
        <v>4420</v>
      </c>
      <c r="I128" s="92" t="s">
        <v>217</v>
      </c>
      <c r="J128" s="81">
        <v>6.9437225E7</v>
      </c>
      <c r="K128" s="93">
        <v>2847390.0</v>
      </c>
      <c r="L128" s="94">
        <v>45728.0</v>
      </c>
      <c r="M128" s="95"/>
    </row>
    <row r="129">
      <c r="A129" s="77">
        <v>132.0</v>
      </c>
      <c r="B129" s="78" t="s">
        <v>4193</v>
      </c>
      <c r="C129" s="79">
        <v>2.0251610015553E13</v>
      </c>
      <c r="D129" s="78" t="s">
        <v>4421</v>
      </c>
      <c r="E129" s="78" t="s">
        <v>1088</v>
      </c>
      <c r="F129" s="81" t="s">
        <v>4196</v>
      </c>
      <c r="G129" s="82">
        <v>1.01850558E9</v>
      </c>
      <c r="H129" s="78" t="s">
        <v>4422</v>
      </c>
      <c r="I129" s="92" t="s">
        <v>217</v>
      </c>
      <c r="J129" s="81">
        <v>6.9437325E7</v>
      </c>
      <c r="K129" s="93">
        <v>2057510.0</v>
      </c>
      <c r="L129" s="94">
        <v>45728.0</v>
      </c>
      <c r="M129" s="95"/>
    </row>
    <row r="130">
      <c r="A130" s="77">
        <v>133.0</v>
      </c>
      <c r="B130" s="78" t="s">
        <v>4193</v>
      </c>
      <c r="C130" s="79">
        <v>2.0251900015763E13</v>
      </c>
      <c r="D130" s="78" t="s">
        <v>4423</v>
      </c>
      <c r="E130" s="78" t="s">
        <v>831</v>
      </c>
      <c r="F130" s="81" t="s">
        <v>4196</v>
      </c>
      <c r="G130" s="82">
        <v>1.026579774E9</v>
      </c>
      <c r="H130" s="78" t="s">
        <v>4424</v>
      </c>
      <c r="I130" s="92" t="s">
        <v>433</v>
      </c>
      <c r="J130" s="81">
        <v>6.3213825E7</v>
      </c>
      <c r="K130" s="93">
        <v>5680000.0</v>
      </c>
      <c r="L130" s="94">
        <v>45723.0</v>
      </c>
      <c r="M130" s="95"/>
    </row>
    <row r="131">
      <c r="A131" s="77">
        <v>134.0</v>
      </c>
      <c r="B131" s="78" t="s">
        <v>4193</v>
      </c>
      <c r="C131" s="79">
        <v>2.0251610015193E13</v>
      </c>
      <c r="D131" s="78" t="s">
        <v>4425</v>
      </c>
      <c r="E131" s="78" t="s">
        <v>411</v>
      </c>
      <c r="F131" s="81" t="s">
        <v>4196</v>
      </c>
      <c r="G131" s="82">
        <v>1.020804167E9</v>
      </c>
      <c r="H131" s="78" t="s">
        <v>4034</v>
      </c>
      <c r="I131" s="92" t="s">
        <v>4426</v>
      </c>
      <c r="J131" s="81">
        <v>6.2010225E7</v>
      </c>
      <c r="K131" s="93">
        <v>9679950.0</v>
      </c>
      <c r="L131" s="94">
        <v>45722.0</v>
      </c>
      <c r="M131" s="95"/>
    </row>
    <row r="132">
      <c r="A132" s="77">
        <v>135.0</v>
      </c>
      <c r="B132" s="78" t="s">
        <v>4193</v>
      </c>
      <c r="C132" s="79">
        <v>2.0251610015293E13</v>
      </c>
      <c r="D132" s="78" t="s">
        <v>4427</v>
      </c>
      <c r="E132" s="78" t="s">
        <v>875</v>
      </c>
      <c r="F132" s="81" t="s">
        <v>4196</v>
      </c>
      <c r="G132" s="82">
        <v>1.233693111E9</v>
      </c>
      <c r="H132" s="78" t="s">
        <v>4428</v>
      </c>
      <c r="I132" s="92" t="s">
        <v>4426</v>
      </c>
      <c r="J132" s="81">
        <v>6.5565525E7</v>
      </c>
      <c r="K132" s="93">
        <v>3522750.0</v>
      </c>
      <c r="L132" s="94">
        <v>45726.0</v>
      </c>
      <c r="M132" s="95"/>
    </row>
    <row r="133">
      <c r="A133" s="77">
        <v>136.0</v>
      </c>
      <c r="B133" s="78" t="s">
        <v>4193</v>
      </c>
      <c r="C133" s="79">
        <v>2.0251020015743E13</v>
      </c>
      <c r="D133" s="78" t="s">
        <v>4429</v>
      </c>
      <c r="E133" s="78" t="s">
        <v>1029</v>
      </c>
      <c r="F133" s="81" t="s">
        <v>4196</v>
      </c>
      <c r="G133" s="82">
        <v>5.2515178E7</v>
      </c>
      <c r="H133" s="78" t="s">
        <v>4430</v>
      </c>
      <c r="I133" s="92" t="s">
        <v>1232</v>
      </c>
      <c r="J133" s="81">
        <v>6.5449625E7</v>
      </c>
      <c r="K133" s="93">
        <v>6129305.0</v>
      </c>
      <c r="L133" s="94">
        <v>45726.0</v>
      </c>
      <c r="M133" s="95"/>
    </row>
    <row r="134">
      <c r="A134" s="77">
        <v>137.0</v>
      </c>
      <c r="B134" s="78" t="s">
        <v>4193</v>
      </c>
      <c r="C134" s="79">
        <v>2.0251530015803E13</v>
      </c>
      <c r="D134" s="78" t="s">
        <v>4431</v>
      </c>
      <c r="E134" s="78" t="s">
        <v>843</v>
      </c>
      <c r="F134" s="81" t="s">
        <v>4196</v>
      </c>
      <c r="G134" s="82">
        <v>1.088300611E9</v>
      </c>
      <c r="H134" s="78" t="s">
        <v>4432</v>
      </c>
      <c r="I134" s="92" t="s">
        <v>4433</v>
      </c>
      <c r="J134" s="81">
        <v>6.3175825E7</v>
      </c>
      <c r="K134" s="93">
        <v>6080500.0</v>
      </c>
      <c r="L134" s="94">
        <v>45723.0</v>
      </c>
      <c r="M134" s="95"/>
    </row>
    <row r="135">
      <c r="A135" s="77">
        <v>138.0</v>
      </c>
      <c r="B135" s="78" t="s">
        <v>4193</v>
      </c>
      <c r="C135" s="79">
        <v>2.0251610015223E13</v>
      </c>
      <c r="D135" s="78" t="s">
        <v>4434</v>
      </c>
      <c r="E135" s="78" t="s">
        <v>1076</v>
      </c>
      <c r="F135" s="81" t="s">
        <v>4196</v>
      </c>
      <c r="G135" s="82">
        <v>1.088340956E9</v>
      </c>
      <c r="H135" s="78" t="s">
        <v>4435</v>
      </c>
      <c r="I135" s="92" t="s">
        <v>4426</v>
      </c>
      <c r="J135" s="81">
        <v>6.9437425E7</v>
      </c>
      <c r="K135" s="93">
        <v>2731050.0</v>
      </c>
      <c r="L135" s="94">
        <v>45728.0</v>
      </c>
      <c r="M135" s="95"/>
    </row>
    <row r="136">
      <c r="A136" s="77">
        <v>139.0</v>
      </c>
      <c r="B136" s="78" t="s">
        <v>4193</v>
      </c>
      <c r="C136" s="79">
        <v>2.0251610015273E13</v>
      </c>
      <c r="D136" s="78" t="s">
        <v>4436</v>
      </c>
      <c r="E136" s="78" t="s">
        <v>285</v>
      </c>
      <c r="F136" s="81" t="s">
        <v>4196</v>
      </c>
      <c r="G136" s="82">
        <v>1.019089253E9</v>
      </c>
      <c r="H136" s="78" t="s">
        <v>4023</v>
      </c>
      <c r="I136" s="92" t="s">
        <v>4426</v>
      </c>
      <c r="J136" s="81">
        <v>6.9437525E7</v>
      </c>
      <c r="K136" s="93">
        <v>7366800.0</v>
      </c>
      <c r="L136" s="94">
        <v>45728.0</v>
      </c>
      <c r="M136" s="95"/>
    </row>
    <row r="137">
      <c r="A137" s="77">
        <v>140.0</v>
      </c>
      <c r="B137" s="78" t="s">
        <v>4193</v>
      </c>
      <c r="C137" s="79">
        <v>2.0251120015903E13</v>
      </c>
      <c r="D137" s="78" t="s">
        <v>4437</v>
      </c>
      <c r="E137" s="78" t="s">
        <v>2812</v>
      </c>
      <c r="F137" s="81" t="s">
        <v>4196</v>
      </c>
      <c r="G137" s="82">
        <v>1.054679552E9</v>
      </c>
      <c r="H137" s="78" t="s">
        <v>3967</v>
      </c>
      <c r="I137" s="92" t="s">
        <v>4356</v>
      </c>
      <c r="J137" s="81">
        <v>6.9436525E7</v>
      </c>
      <c r="K137" s="93">
        <v>7366800.0</v>
      </c>
      <c r="L137" s="94">
        <v>45728.0</v>
      </c>
      <c r="M137" s="95"/>
    </row>
    <row r="138">
      <c r="A138" s="77">
        <v>141.0</v>
      </c>
      <c r="B138" s="78" t="s">
        <v>4193</v>
      </c>
      <c r="C138" s="79">
        <v>2.0251300015813E13</v>
      </c>
      <c r="D138" s="78" t="s">
        <v>4438</v>
      </c>
      <c r="E138" s="78" t="s">
        <v>2749</v>
      </c>
      <c r="F138" s="81" t="s">
        <v>4196</v>
      </c>
      <c r="G138" s="82">
        <v>5.312276E7</v>
      </c>
      <c r="H138" s="78" t="s">
        <v>4052</v>
      </c>
      <c r="I138" s="92" t="s">
        <v>192</v>
      </c>
      <c r="J138" s="81">
        <v>6.5461925E7</v>
      </c>
      <c r="K138" s="93">
        <v>8300000.0</v>
      </c>
      <c r="L138" s="94">
        <v>45726.0</v>
      </c>
      <c r="M138" s="95"/>
    </row>
    <row r="139">
      <c r="A139" s="77">
        <v>142.0</v>
      </c>
      <c r="B139" s="78" t="s">
        <v>4193</v>
      </c>
      <c r="C139" s="79">
        <v>2.0251300015823E13</v>
      </c>
      <c r="D139" s="78" t="s">
        <v>4439</v>
      </c>
      <c r="E139" s="78" t="s">
        <v>439</v>
      </c>
      <c r="F139" s="81" t="s">
        <v>4196</v>
      </c>
      <c r="G139" s="82">
        <v>5.2354579E7</v>
      </c>
      <c r="H139" s="78" t="s">
        <v>4110</v>
      </c>
      <c r="I139" s="92" t="s">
        <v>192</v>
      </c>
      <c r="J139" s="81">
        <v>6.3209525E7</v>
      </c>
      <c r="K139" s="93">
        <v>4500000.0</v>
      </c>
      <c r="L139" s="94">
        <v>45723.0</v>
      </c>
      <c r="M139" s="95"/>
    </row>
    <row r="140">
      <c r="A140" s="77">
        <v>143.0</v>
      </c>
      <c r="B140" s="78" t="s">
        <v>4193</v>
      </c>
      <c r="C140" s="79">
        <v>2.0251300015833E13</v>
      </c>
      <c r="D140" s="78" t="s">
        <v>4440</v>
      </c>
      <c r="E140" s="78" t="s">
        <v>329</v>
      </c>
      <c r="F140" s="81" t="s">
        <v>4196</v>
      </c>
      <c r="G140" s="82">
        <v>1.003691415E9</v>
      </c>
      <c r="H140" s="78" t="s">
        <v>4060</v>
      </c>
      <c r="I140" s="92" t="s">
        <v>192</v>
      </c>
      <c r="J140" s="81">
        <v>6.3188925E7</v>
      </c>
      <c r="K140" s="93">
        <v>4372000.0</v>
      </c>
      <c r="L140" s="94">
        <v>45723.0</v>
      </c>
      <c r="M140" s="95"/>
    </row>
    <row r="141">
      <c r="A141" s="77">
        <v>144.0</v>
      </c>
      <c r="B141" s="78" t="s">
        <v>4193</v>
      </c>
      <c r="C141" s="79">
        <v>2.0251300015843E13</v>
      </c>
      <c r="D141" s="78" t="s">
        <v>4441</v>
      </c>
      <c r="E141" s="78" t="s">
        <v>259</v>
      </c>
      <c r="F141" s="81" t="s">
        <v>4196</v>
      </c>
      <c r="G141" s="82">
        <v>1.070924443E9</v>
      </c>
      <c r="H141" s="78" t="s">
        <v>4062</v>
      </c>
      <c r="I141" s="92" t="s">
        <v>192</v>
      </c>
      <c r="J141" s="81">
        <v>6.3191925E7</v>
      </c>
      <c r="K141" s="93">
        <v>4084000.0</v>
      </c>
      <c r="L141" s="94">
        <v>45723.0</v>
      </c>
      <c r="M141" s="95"/>
    </row>
    <row r="142">
      <c r="A142" s="77">
        <v>145.0</v>
      </c>
      <c r="B142" s="78" t="s">
        <v>4193</v>
      </c>
      <c r="C142" s="79">
        <v>2.0251500015453E13</v>
      </c>
      <c r="D142" s="78" t="s">
        <v>4442</v>
      </c>
      <c r="E142" s="78" t="s">
        <v>247</v>
      </c>
      <c r="F142" s="81" t="s">
        <v>4196</v>
      </c>
      <c r="G142" s="82">
        <v>1.006772235E9</v>
      </c>
      <c r="H142" s="78" t="s">
        <v>4079</v>
      </c>
      <c r="I142" s="92" t="s">
        <v>4443</v>
      </c>
      <c r="J142" s="81">
        <v>6.3172525E7</v>
      </c>
      <c r="K142" s="93">
        <v>2464800.0</v>
      </c>
      <c r="L142" s="94">
        <v>45723.0</v>
      </c>
      <c r="M142" s="95"/>
    </row>
    <row r="143">
      <c r="A143" s="77">
        <v>147.0</v>
      </c>
      <c r="B143" s="78" t="s">
        <v>4193</v>
      </c>
      <c r="C143" s="79">
        <v>2.0251500015463E13</v>
      </c>
      <c r="D143" s="78" t="s">
        <v>4444</v>
      </c>
      <c r="E143" s="78" t="s">
        <v>4445</v>
      </c>
      <c r="F143" s="81" t="s">
        <v>4196</v>
      </c>
      <c r="G143" s="82">
        <v>1.055272277E9</v>
      </c>
      <c r="H143" s="78" t="s">
        <v>4446</v>
      </c>
      <c r="I143" s="92" t="s">
        <v>4443</v>
      </c>
      <c r="J143" s="81">
        <v>6.3193625E7</v>
      </c>
      <c r="K143" s="93">
        <v>3596500.0</v>
      </c>
      <c r="L143" s="94">
        <v>45723.0</v>
      </c>
      <c r="M143" s="95"/>
    </row>
    <row r="144">
      <c r="A144" s="77">
        <v>148.0</v>
      </c>
      <c r="B144" s="78" t="s">
        <v>4193</v>
      </c>
      <c r="C144" s="79">
        <v>2.0251510015923E13</v>
      </c>
      <c r="D144" s="78" t="s">
        <v>4447</v>
      </c>
      <c r="E144" s="78" t="s">
        <v>547</v>
      </c>
      <c r="F144" s="81" t="s">
        <v>4196</v>
      </c>
      <c r="G144" s="82">
        <v>2.6203478E7</v>
      </c>
      <c r="H144" s="78" t="s">
        <v>3995</v>
      </c>
      <c r="I144" s="92" t="s">
        <v>551</v>
      </c>
      <c r="J144" s="81">
        <v>6.9258225E7</v>
      </c>
      <c r="K144" s="93">
        <v>4000000.0</v>
      </c>
      <c r="L144" s="94">
        <v>45728.0</v>
      </c>
      <c r="M144" s="95"/>
    </row>
    <row r="145">
      <c r="A145" s="77">
        <v>149.0</v>
      </c>
      <c r="B145" s="78" t="s">
        <v>4193</v>
      </c>
      <c r="C145" s="79">
        <v>2.0251800015973E13</v>
      </c>
      <c r="D145" s="78" t="s">
        <v>4448</v>
      </c>
      <c r="E145" s="78" t="s">
        <v>510</v>
      </c>
      <c r="F145" s="81" t="s">
        <v>4196</v>
      </c>
      <c r="G145" s="82">
        <v>1.3456486E7</v>
      </c>
      <c r="H145" s="78" t="s">
        <v>4158</v>
      </c>
      <c r="I145" s="92" t="s">
        <v>514</v>
      </c>
      <c r="J145" s="81">
        <v>6.5599625E7</v>
      </c>
      <c r="K145" s="93">
        <v>6346000.0</v>
      </c>
      <c r="L145" s="94">
        <v>45726.0</v>
      </c>
      <c r="M145" s="95"/>
    </row>
    <row r="146">
      <c r="A146" s="77">
        <v>150.0</v>
      </c>
      <c r="B146" s="78" t="s">
        <v>4193</v>
      </c>
      <c r="C146" s="79">
        <v>2.0251510015983E13</v>
      </c>
      <c r="D146" s="78" t="s">
        <v>4449</v>
      </c>
      <c r="E146" s="78" t="s">
        <v>835</v>
      </c>
      <c r="F146" s="81" t="s">
        <v>4196</v>
      </c>
      <c r="G146" s="82">
        <v>1.010065876E9</v>
      </c>
      <c r="H146" s="78" t="s">
        <v>4450</v>
      </c>
      <c r="I146" s="92" t="s">
        <v>551</v>
      </c>
      <c r="J146" s="81">
        <v>6.7614525E7</v>
      </c>
      <c r="K146" s="93">
        <v>3333333.0</v>
      </c>
      <c r="L146" s="94">
        <v>45727.0</v>
      </c>
      <c r="M146" s="95"/>
    </row>
    <row r="147">
      <c r="A147" s="77">
        <v>151.0</v>
      </c>
      <c r="B147" s="78" t="s">
        <v>4193</v>
      </c>
      <c r="C147" s="79">
        <v>2.0251130015323E13</v>
      </c>
      <c r="D147" s="78" t="s">
        <v>4451</v>
      </c>
      <c r="E147" s="78" t="s">
        <v>391</v>
      </c>
      <c r="F147" s="81" t="s">
        <v>4196</v>
      </c>
      <c r="G147" s="82">
        <v>7.9448382E7</v>
      </c>
      <c r="H147" s="78" t="s">
        <v>4064</v>
      </c>
      <c r="I147" s="92" t="s">
        <v>274</v>
      </c>
      <c r="J147" s="81">
        <v>6.3170925E7</v>
      </c>
      <c r="K147" s="93">
        <v>9000000.0</v>
      </c>
      <c r="L147" s="94">
        <v>45723.0</v>
      </c>
      <c r="M147" s="95"/>
    </row>
    <row r="148">
      <c r="A148" s="77">
        <v>152.0</v>
      </c>
      <c r="B148" s="78" t="s">
        <v>4193</v>
      </c>
      <c r="C148" s="96">
        <v>2.0251300015933E13</v>
      </c>
      <c r="D148" s="78" t="s">
        <v>4452</v>
      </c>
      <c r="E148" s="78" t="s">
        <v>434</v>
      </c>
      <c r="F148" s="81" t="s">
        <v>4196</v>
      </c>
      <c r="G148" s="82">
        <v>1.022406922E9</v>
      </c>
      <c r="H148" s="78" t="s">
        <v>4083</v>
      </c>
      <c r="I148" s="92" t="s">
        <v>438</v>
      </c>
      <c r="J148" s="81">
        <v>7.2358925E7</v>
      </c>
      <c r="K148" s="93">
        <v>5746000.0</v>
      </c>
      <c r="L148" s="94">
        <v>45733.0</v>
      </c>
      <c r="M148" s="95"/>
    </row>
    <row r="149">
      <c r="A149" s="77">
        <v>153.0</v>
      </c>
      <c r="B149" s="78" t="s">
        <v>4193</v>
      </c>
      <c r="C149" s="79">
        <v>2.0251110015993E13</v>
      </c>
      <c r="D149" s="78" t="s">
        <v>4453</v>
      </c>
      <c r="E149" s="78" t="s">
        <v>264</v>
      </c>
      <c r="F149" s="81" t="s">
        <v>4127</v>
      </c>
      <c r="G149" s="82">
        <v>9.00196555E8</v>
      </c>
      <c r="H149" s="78" t="s">
        <v>4128</v>
      </c>
      <c r="I149" s="92" t="s">
        <v>2596</v>
      </c>
      <c r="J149" s="81">
        <v>6.5567525E7</v>
      </c>
      <c r="K149" s="93">
        <v>4429066.0</v>
      </c>
      <c r="L149" s="94">
        <v>45726.0</v>
      </c>
      <c r="M149" s="95"/>
    </row>
    <row r="150">
      <c r="A150" s="77">
        <v>154.0</v>
      </c>
      <c r="B150" s="78" t="s">
        <v>4193</v>
      </c>
      <c r="C150" s="79">
        <v>2.0251610016023E13</v>
      </c>
      <c r="D150" s="78" t="s">
        <v>4454</v>
      </c>
      <c r="E150" s="78" t="s">
        <v>4455</v>
      </c>
      <c r="F150" s="81" t="s">
        <v>4196</v>
      </c>
      <c r="G150" s="82">
        <v>1.088351048E9</v>
      </c>
      <c r="H150" s="78" t="s">
        <v>4456</v>
      </c>
      <c r="I150" s="92" t="s">
        <v>557</v>
      </c>
      <c r="J150" s="81">
        <v>6.5754325E7</v>
      </c>
      <c r="K150" s="93">
        <v>8997450.0</v>
      </c>
      <c r="L150" s="94">
        <v>45726.0</v>
      </c>
      <c r="M150" s="95"/>
    </row>
    <row r="151">
      <c r="A151" s="77">
        <v>155.0</v>
      </c>
      <c r="B151" s="78" t="s">
        <v>4193</v>
      </c>
      <c r="C151" s="79">
        <v>2.0251510016053E13</v>
      </c>
      <c r="D151" s="78" t="s">
        <v>4457</v>
      </c>
      <c r="E151" s="78" t="s">
        <v>4458</v>
      </c>
      <c r="F151" s="81" t="s">
        <v>4196</v>
      </c>
      <c r="G151" s="82">
        <v>9.1013621E7</v>
      </c>
      <c r="H151" s="78" t="s">
        <v>4459</v>
      </c>
      <c r="I151" s="92" t="s">
        <v>551</v>
      </c>
      <c r="J151" s="81">
        <v>6.9240125E7</v>
      </c>
      <c r="K151" s="93">
        <v>8000000.0</v>
      </c>
      <c r="L151" s="94">
        <v>45728.0</v>
      </c>
      <c r="M151" s="95"/>
    </row>
    <row r="152">
      <c r="A152" s="77">
        <v>156.0</v>
      </c>
      <c r="B152" s="78" t="s">
        <v>4193</v>
      </c>
      <c r="C152" s="79">
        <v>2.0251800016083E13</v>
      </c>
      <c r="D152" s="78" t="s">
        <v>4460</v>
      </c>
      <c r="E152" s="78" t="s">
        <v>2755</v>
      </c>
      <c r="F152" s="81" t="s">
        <v>4196</v>
      </c>
      <c r="G152" s="82">
        <v>8.005725E7</v>
      </c>
      <c r="H152" s="78" t="s">
        <v>3991</v>
      </c>
      <c r="I152" s="92" t="s">
        <v>514</v>
      </c>
      <c r="J152" s="81">
        <v>6.3169825E7</v>
      </c>
      <c r="K152" s="93">
        <v>5930000.0</v>
      </c>
      <c r="L152" s="94">
        <v>45723.0</v>
      </c>
      <c r="M152" s="95"/>
    </row>
    <row r="153">
      <c r="A153" s="77">
        <v>157.0</v>
      </c>
      <c r="B153" s="78" t="s">
        <v>4193</v>
      </c>
      <c r="C153" s="79">
        <v>2.0251700016093E13</v>
      </c>
      <c r="D153" s="78" t="s">
        <v>4461</v>
      </c>
      <c r="E153" s="78" t="s">
        <v>2737</v>
      </c>
      <c r="F153" s="81" t="s">
        <v>4196</v>
      </c>
      <c r="G153" s="82">
        <v>8.0724862E7</v>
      </c>
      <c r="H153" s="78" t="s">
        <v>4045</v>
      </c>
      <c r="I153" s="92" t="s">
        <v>588</v>
      </c>
      <c r="J153" s="81">
        <v>6.3188425E7</v>
      </c>
      <c r="K153" s="93">
        <v>1.04181E7</v>
      </c>
      <c r="L153" s="94">
        <v>45723.0</v>
      </c>
      <c r="M153" s="95"/>
    </row>
    <row r="154">
      <c r="A154" s="77">
        <v>158.0</v>
      </c>
      <c r="B154" s="78" t="s">
        <v>4193</v>
      </c>
      <c r="C154" s="96">
        <v>2.0251610016043E13</v>
      </c>
      <c r="D154" s="78" t="s">
        <v>4462</v>
      </c>
      <c r="E154" s="78" t="s">
        <v>4040</v>
      </c>
      <c r="F154" s="81" t="s">
        <v>4196</v>
      </c>
      <c r="G154" s="82">
        <v>1.100838461E9</v>
      </c>
      <c r="H154" s="78" t="s">
        <v>4041</v>
      </c>
      <c r="I154" s="92" t="s">
        <v>4463</v>
      </c>
      <c r="J154" s="81">
        <v>6.9437625E7</v>
      </c>
      <c r="K154" s="93">
        <v>7366800.0</v>
      </c>
      <c r="L154" s="94">
        <v>45728.0</v>
      </c>
      <c r="M154" s="95"/>
    </row>
    <row r="155">
      <c r="A155" s="77">
        <v>159.0</v>
      </c>
      <c r="B155" s="78" t="s">
        <v>4193</v>
      </c>
      <c r="C155" s="79">
        <v>2.0251700016103E13</v>
      </c>
      <c r="D155" s="78" t="s">
        <v>4464</v>
      </c>
      <c r="E155" s="78" t="s">
        <v>4465</v>
      </c>
      <c r="F155" s="81" t="s">
        <v>4196</v>
      </c>
      <c r="G155" s="82">
        <v>1.057584892E9</v>
      </c>
      <c r="H155" s="78" t="s">
        <v>4466</v>
      </c>
      <c r="I155" s="92" t="s">
        <v>739</v>
      </c>
      <c r="J155" s="81">
        <v>7.1645725E7</v>
      </c>
      <c r="K155" s="93">
        <v>1.04181E7</v>
      </c>
      <c r="L155" s="94">
        <v>45730.0</v>
      </c>
      <c r="M155" s="95"/>
    </row>
    <row r="156">
      <c r="A156" s="77">
        <v>160.0</v>
      </c>
      <c r="B156" s="78" t="s">
        <v>4193</v>
      </c>
      <c r="C156" s="79">
        <v>2.0251000015963E13</v>
      </c>
      <c r="D156" s="78" t="s">
        <v>4467</v>
      </c>
      <c r="E156" s="78" t="s">
        <v>4112</v>
      </c>
      <c r="F156" s="81" t="s">
        <v>4196</v>
      </c>
      <c r="G156" s="82">
        <v>1.019065837E9</v>
      </c>
      <c r="H156" s="78" t="s">
        <v>4114</v>
      </c>
      <c r="I156" s="92" t="s">
        <v>410</v>
      </c>
      <c r="J156" s="81">
        <v>6.5554025E7</v>
      </c>
      <c r="K156" s="93">
        <v>5000000.0</v>
      </c>
      <c r="L156" s="94">
        <v>45726.0</v>
      </c>
      <c r="M156" s="95"/>
    </row>
    <row r="157">
      <c r="A157" s="77">
        <v>161.0</v>
      </c>
      <c r="B157" s="78" t="s">
        <v>4193</v>
      </c>
      <c r="C157" s="79">
        <v>2.0251610016033E13</v>
      </c>
      <c r="D157" s="78" t="s">
        <v>4468</v>
      </c>
      <c r="E157" s="78" t="s">
        <v>859</v>
      </c>
      <c r="F157" s="81" t="s">
        <v>4196</v>
      </c>
      <c r="G157" s="82">
        <v>1.032433564E9</v>
      </c>
      <c r="H157" s="78" t="s">
        <v>4469</v>
      </c>
      <c r="I157" s="92" t="s">
        <v>4470</v>
      </c>
      <c r="J157" s="81">
        <v>6.7406325E7</v>
      </c>
      <c r="K157" s="93">
        <v>7176272.0</v>
      </c>
      <c r="L157" s="94">
        <v>45727.0</v>
      </c>
      <c r="M157" s="95"/>
    </row>
    <row r="158">
      <c r="A158" s="77">
        <v>162.0</v>
      </c>
      <c r="B158" s="78" t="s">
        <v>4193</v>
      </c>
      <c r="C158" s="79">
        <v>2.0251700016163E13</v>
      </c>
      <c r="D158" s="78" t="s">
        <v>4471</v>
      </c>
      <c r="E158" s="78" t="s">
        <v>2724</v>
      </c>
      <c r="F158" s="81" t="s">
        <v>4196</v>
      </c>
      <c r="G158" s="82">
        <v>1.015393939E9</v>
      </c>
      <c r="H158" s="78" t="s">
        <v>4162</v>
      </c>
      <c r="I158" s="92" t="s">
        <v>4472</v>
      </c>
      <c r="J158" s="81">
        <v>6.5557125E7</v>
      </c>
      <c r="K158" s="93">
        <v>1.04181E7</v>
      </c>
      <c r="L158" s="94">
        <v>45726.0</v>
      </c>
      <c r="M158" s="95"/>
    </row>
    <row r="159">
      <c r="A159" s="77">
        <v>163.0</v>
      </c>
      <c r="B159" s="78" t="s">
        <v>4193</v>
      </c>
      <c r="C159" s="79">
        <v>2.0251130016183E13</v>
      </c>
      <c r="D159" s="78" t="s">
        <v>4473</v>
      </c>
      <c r="E159" s="78" t="s">
        <v>1109</v>
      </c>
      <c r="F159" s="81" t="s">
        <v>4196</v>
      </c>
      <c r="G159" s="82">
        <v>5.3009738E7</v>
      </c>
      <c r="H159" s="78" t="s">
        <v>4474</v>
      </c>
      <c r="I159" s="92" t="s">
        <v>274</v>
      </c>
      <c r="J159" s="81">
        <v>6.5759125E7</v>
      </c>
      <c r="K159" s="93">
        <v>2521333.0</v>
      </c>
      <c r="L159" s="94">
        <v>45726.0</v>
      </c>
      <c r="M159" s="95"/>
    </row>
    <row r="160">
      <c r="A160" s="77">
        <v>164.0</v>
      </c>
      <c r="B160" s="78" t="s">
        <v>4193</v>
      </c>
      <c r="C160" s="79">
        <v>2.0251610016013E13</v>
      </c>
      <c r="D160" s="78" t="s">
        <v>4475</v>
      </c>
      <c r="E160" s="78" t="s">
        <v>553</v>
      </c>
      <c r="F160" s="81" t="s">
        <v>4196</v>
      </c>
      <c r="G160" s="82">
        <v>1.07413537E9</v>
      </c>
      <c r="H160" s="78" t="s">
        <v>4075</v>
      </c>
      <c r="I160" s="92" t="s">
        <v>4463</v>
      </c>
      <c r="J160" s="81">
        <v>7.2358125E7</v>
      </c>
      <c r="K160" s="93">
        <v>6663300.0</v>
      </c>
      <c r="L160" s="94">
        <v>45733.0</v>
      </c>
      <c r="M160" s="95"/>
    </row>
    <row r="161">
      <c r="A161" s="77">
        <v>165.0</v>
      </c>
      <c r="B161" s="78" t="s">
        <v>4193</v>
      </c>
      <c r="C161" s="79">
        <v>2.0251520016223E13</v>
      </c>
      <c r="D161" s="78" t="s">
        <v>4476</v>
      </c>
      <c r="E161" s="78" t="s">
        <v>814</v>
      </c>
      <c r="F161" s="81" t="s">
        <v>4196</v>
      </c>
      <c r="G161" s="82">
        <v>1.015424748E9</v>
      </c>
      <c r="H161" s="78" t="s">
        <v>4477</v>
      </c>
      <c r="I161" s="92" t="s">
        <v>912</v>
      </c>
      <c r="J161" s="81">
        <v>6.7408925E7</v>
      </c>
      <c r="K161" s="93">
        <v>6080500.0</v>
      </c>
      <c r="L161" s="94">
        <v>45727.0</v>
      </c>
      <c r="M161" s="95"/>
    </row>
    <row r="162">
      <c r="A162" s="77">
        <v>166.0</v>
      </c>
      <c r="B162" s="78" t="s">
        <v>4193</v>
      </c>
      <c r="C162" s="79">
        <v>2.0251500015883E13</v>
      </c>
      <c r="D162" s="78" t="s">
        <v>4478</v>
      </c>
      <c r="E162" s="78" t="s">
        <v>839</v>
      </c>
      <c r="F162" s="81" t="s">
        <v>4196</v>
      </c>
      <c r="G162" s="82">
        <v>1.030610778E9</v>
      </c>
      <c r="H162" s="78" t="s">
        <v>4479</v>
      </c>
      <c r="I162" s="92" t="s">
        <v>4443</v>
      </c>
      <c r="J162" s="81">
        <v>6.7609425E7</v>
      </c>
      <c r="K162" s="93">
        <v>5837280.0</v>
      </c>
      <c r="L162" s="94">
        <v>45727.0</v>
      </c>
      <c r="M162" s="95"/>
    </row>
    <row r="163">
      <c r="A163" s="77">
        <v>167.0</v>
      </c>
      <c r="B163" s="78" t="s">
        <v>4193</v>
      </c>
      <c r="C163" s="79">
        <v>2.0251500015873E13</v>
      </c>
      <c r="D163" s="78" t="s">
        <v>4480</v>
      </c>
      <c r="E163" s="78" t="s">
        <v>879</v>
      </c>
      <c r="F163" s="81" t="s">
        <v>4196</v>
      </c>
      <c r="G163" s="82">
        <v>1.010210361E9</v>
      </c>
      <c r="H163" s="78" t="s">
        <v>4481</v>
      </c>
      <c r="I163" s="92" t="s">
        <v>4443</v>
      </c>
      <c r="J163" s="81">
        <v>6.7407525E7</v>
      </c>
      <c r="K163" s="93">
        <v>4933760.0</v>
      </c>
      <c r="L163" s="94">
        <v>45727.0</v>
      </c>
      <c r="M163" s="95"/>
    </row>
    <row r="164">
      <c r="A164" s="77">
        <v>168.0</v>
      </c>
      <c r="B164" s="78" t="s">
        <v>4193</v>
      </c>
      <c r="C164" s="79">
        <v>2.0251500015863E13</v>
      </c>
      <c r="D164" s="78" t="s">
        <v>4482</v>
      </c>
      <c r="E164" s="78" t="s">
        <v>853</v>
      </c>
      <c r="F164" s="81" t="s">
        <v>4196</v>
      </c>
      <c r="G164" s="82">
        <v>1.022995967E9</v>
      </c>
      <c r="H164" s="78" t="s">
        <v>4483</v>
      </c>
      <c r="I164" s="92" t="s">
        <v>4443</v>
      </c>
      <c r="J164" s="81">
        <v>6.5763425E7</v>
      </c>
      <c r="K164" s="93">
        <v>3637440.0</v>
      </c>
      <c r="L164" s="94">
        <v>45726.0</v>
      </c>
      <c r="M164" s="95"/>
    </row>
    <row r="165">
      <c r="A165" s="77">
        <v>169.0</v>
      </c>
      <c r="B165" s="78" t="s">
        <v>4193</v>
      </c>
      <c r="C165" s="79">
        <v>2.0251000016153E13</v>
      </c>
      <c r="D165" s="78" t="s">
        <v>4484</v>
      </c>
      <c r="E165" s="78" t="s">
        <v>589</v>
      </c>
      <c r="F165" s="81" t="s">
        <v>4196</v>
      </c>
      <c r="G165" s="82">
        <v>1.032414974E9</v>
      </c>
      <c r="H165" s="78" t="s">
        <v>4485</v>
      </c>
      <c r="I165" s="92" t="s">
        <v>657</v>
      </c>
      <c r="J165" s="81">
        <v>6.8322625E7</v>
      </c>
      <c r="K165" s="93">
        <v>3900000.0</v>
      </c>
      <c r="L165" s="94">
        <v>45728.0</v>
      </c>
      <c r="M165" s="95"/>
    </row>
    <row r="166">
      <c r="A166" s="77">
        <v>170.0</v>
      </c>
      <c r="B166" s="78" t="s">
        <v>4193</v>
      </c>
      <c r="C166" s="96">
        <v>2.0251610016003E13</v>
      </c>
      <c r="D166" s="78" t="s">
        <v>4486</v>
      </c>
      <c r="E166" s="78" t="s">
        <v>2804</v>
      </c>
      <c r="F166" s="81" t="s">
        <v>4196</v>
      </c>
      <c r="G166" s="82">
        <v>1.01020469E9</v>
      </c>
      <c r="H166" s="78" t="s">
        <v>4487</v>
      </c>
      <c r="I166" s="92" t="s">
        <v>4463</v>
      </c>
      <c r="J166" s="81">
        <v>7.2359425E7</v>
      </c>
      <c r="K166" s="93">
        <v>1.17E7</v>
      </c>
      <c r="L166" s="94">
        <v>45733.0</v>
      </c>
      <c r="M166" s="95"/>
    </row>
    <row r="167">
      <c r="A167" s="77">
        <v>171.0</v>
      </c>
      <c r="B167" s="78" t="s">
        <v>4193</v>
      </c>
      <c r="C167" s="79">
        <v>2.0251110016193E13</v>
      </c>
      <c r="D167" s="78" t="s">
        <v>4488</v>
      </c>
      <c r="E167" s="78" t="s">
        <v>2598</v>
      </c>
      <c r="F167" s="81" t="s">
        <v>4127</v>
      </c>
      <c r="G167" s="82">
        <v>9.01244985E8</v>
      </c>
      <c r="H167" s="78" t="s">
        <v>4170</v>
      </c>
      <c r="I167" s="92" t="s">
        <v>2596</v>
      </c>
      <c r="J167" s="81">
        <v>6.5469725E7</v>
      </c>
      <c r="K167" s="93">
        <v>1.0486362E7</v>
      </c>
      <c r="L167" s="94">
        <v>45726.0</v>
      </c>
      <c r="M167" s="95"/>
    </row>
    <row r="168">
      <c r="A168" s="77">
        <v>172.0</v>
      </c>
      <c r="B168" s="78" t="s">
        <v>4193</v>
      </c>
      <c r="C168" s="96">
        <v>2.0251110016593E13</v>
      </c>
      <c r="D168" s="78" t="s">
        <v>4489</v>
      </c>
      <c r="E168" s="78" t="s">
        <v>519</v>
      </c>
      <c r="F168" s="81" t="s">
        <v>4196</v>
      </c>
      <c r="G168" s="82">
        <v>5.3082812E7</v>
      </c>
      <c r="H168" s="78" t="s">
        <v>4133</v>
      </c>
      <c r="I168" s="92" t="s">
        <v>524</v>
      </c>
      <c r="J168" s="81">
        <v>6.5463225E7</v>
      </c>
      <c r="K168" s="93">
        <v>9000000.0</v>
      </c>
      <c r="L168" s="94">
        <v>45726.0</v>
      </c>
      <c r="M168" s="95"/>
    </row>
    <row r="169">
      <c r="A169" s="77">
        <v>173.0</v>
      </c>
      <c r="B169" s="78" t="s">
        <v>4193</v>
      </c>
      <c r="C169" s="79">
        <v>2.0251020016353E13</v>
      </c>
      <c r="D169" s="78" t="s">
        <v>4490</v>
      </c>
      <c r="E169" s="78" t="s">
        <v>1017</v>
      </c>
      <c r="F169" s="81" t="s">
        <v>4196</v>
      </c>
      <c r="G169" s="82">
        <v>1.01023574E9</v>
      </c>
      <c r="H169" s="78" t="s">
        <v>4491</v>
      </c>
      <c r="I169" s="92" t="s">
        <v>4319</v>
      </c>
      <c r="J169" s="81">
        <v>6.7656125E7</v>
      </c>
      <c r="K169" s="93">
        <v>1980000.0</v>
      </c>
      <c r="L169" s="94">
        <v>45727.0</v>
      </c>
      <c r="M169" s="95"/>
    </row>
    <row r="170">
      <c r="A170" s="77">
        <v>174.0</v>
      </c>
      <c r="B170" s="78" t="s">
        <v>4193</v>
      </c>
      <c r="C170" s="79">
        <v>2.0251510016393E13</v>
      </c>
      <c r="D170" s="78" t="s">
        <v>4492</v>
      </c>
      <c r="E170" s="78" t="s">
        <v>1129</v>
      </c>
      <c r="F170" s="81" t="s">
        <v>4196</v>
      </c>
      <c r="G170" s="82">
        <v>1.083897571E9</v>
      </c>
      <c r="H170" s="78" t="s">
        <v>4493</v>
      </c>
      <c r="I170" s="92" t="s">
        <v>4494</v>
      </c>
      <c r="J170" s="81">
        <v>6.5550625E7</v>
      </c>
      <c r="K170" s="93">
        <v>1416667.0</v>
      </c>
      <c r="L170" s="94">
        <v>45726.0</v>
      </c>
      <c r="M170" s="95"/>
    </row>
    <row r="171">
      <c r="A171" s="77">
        <v>175.0</v>
      </c>
      <c r="B171" s="78" t="s">
        <v>4193</v>
      </c>
      <c r="C171" s="79">
        <v>2.0251000016443E13</v>
      </c>
      <c r="D171" s="78" t="s">
        <v>4495</v>
      </c>
      <c r="E171" s="78" t="s">
        <v>370</v>
      </c>
      <c r="F171" s="81" t="s">
        <v>4196</v>
      </c>
      <c r="G171" s="82">
        <v>1.020752782E9</v>
      </c>
      <c r="H171" s="78" t="s">
        <v>4146</v>
      </c>
      <c r="I171" s="92" t="s">
        <v>657</v>
      </c>
      <c r="J171" s="81">
        <v>6.5472225E7</v>
      </c>
      <c r="K171" s="93">
        <v>7000000.0</v>
      </c>
      <c r="L171" s="94">
        <v>45726.0</v>
      </c>
      <c r="M171" s="95"/>
    </row>
    <row r="172">
      <c r="A172" s="77">
        <v>176.0</v>
      </c>
      <c r="B172" s="78" t="s">
        <v>4193</v>
      </c>
      <c r="C172" s="79">
        <v>2.0251610016383E13</v>
      </c>
      <c r="D172" s="78" t="s">
        <v>4496</v>
      </c>
      <c r="E172" s="78" t="s">
        <v>376</v>
      </c>
      <c r="F172" s="81" t="s">
        <v>4196</v>
      </c>
      <c r="G172" s="82">
        <v>1.075222248E9</v>
      </c>
      <c r="H172" s="78" t="s">
        <v>4047</v>
      </c>
      <c r="I172" s="92" t="s">
        <v>4360</v>
      </c>
      <c r="J172" s="81">
        <v>7.2358225E7</v>
      </c>
      <c r="K172" s="93">
        <v>8650000.0</v>
      </c>
      <c r="L172" s="94">
        <v>45733.0</v>
      </c>
      <c r="M172" s="95"/>
    </row>
    <row r="173">
      <c r="A173" s="77">
        <v>177.0</v>
      </c>
      <c r="B173" s="78" t="s">
        <v>4193</v>
      </c>
      <c r="C173" s="79">
        <v>2.0251000016453E13</v>
      </c>
      <c r="D173" s="78" t="s">
        <v>4497</v>
      </c>
      <c r="E173" s="78" t="s">
        <v>913</v>
      </c>
      <c r="F173" s="81" t="s">
        <v>4196</v>
      </c>
      <c r="G173" s="82">
        <v>1.032450346E9</v>
      </c>
      <c r="H173" s="78" t="s">
        <v>4498</v>
      </c>
      <c r="I173" s="92" t="s">
        <v>657</v>
      </c>
      <c r="J173" s="81">
        <v>6.7616125E7</v>
      </c>
      <c r="K173" s="93">
        <v>2858380.0</v>
      </c>
      <c r="L173" s="94">
        <v>45727.0</v>
      </c>
      <c r="M173" s="95"/>
    </row>
    <row r="174">
      <c r="A174" s="77">
        <v>178.0</v>
      </c>
      <c r="B174" s="78" t="s">
        <v>4193</v>
      </c>
      <c r="C174" s="79">
        <v>2.0251000016463E13</v>
      </c>
      <c r="D174" s="78" t="s">
        <v>4499</v>
      </c>
      <c r="E174" s="78" t="s">
        <v>790</v>
      </c>
      <c r="F174" s="81" t="s">
        <v>4196</v>
      </c>
      <c r="G174" s="82">
        <v>1.000288699E9</v>
      </c>
      <c r="H174" s="78" t="s">
        <v>4500</v>
      </c>
      <c r="I174" s="92" t="s">
        <v>410</v>
      </c>
      <c r="J174" s="81">
        <v>6.7618625E7</v>
      </c>
      <c r="K174" s="93">
        <v>2969538.0</v>
      </c>
      <c r="L174" s="94">
        <v>45727.0</v>
      </c>
      <c r="M174" s="95"/>
    </row>
    <row r="175">
      <c r="A175" s="77">
        <v>179.0</v>
      </c>
      <c r="B175" s="78" t="s">
        <v>4193</v>
      </c>
      <c r="C175" s="79">
        <v>2.0251000016513E13</v>
      </c>
      <c r="D175" s="78" t="s">
        <v>4501</v>
      </c>
      <c r="E175" s="78" t="s">
        <v>4137</v>
      </c>
      <c r="F175" s="81" t="s">
        <v>4196</v>
      </c>
      <c r="G175" s="82">
        <v>1.085897401E9</v>
      </c>
      <c r="H175" s="78" t="s">
        <v>4138</v>
      </c>
      <c r="I175" s="92" t="s">
        <v>657</v>
      </c>
      <c r="J175" s="81">
        <v>6.7613425E7</v>
      </c>
      <c r="K175" s="93">
        <v>7200000.0</v>
      </c>
      <c r="L175" s="94">
        <v>45727.0</v>
      </c>
      <c r="M175" s="95"/>
    </row>
    <row r="176">
      <c r="A176" s="77">
        <v>180.0</v>
      </c>
      <c r="B176" s="78" t="s">
        <v>4193</v>
      </c>
      <c r="C176" s="79">
        <v>2.0251000016503E13</v>
      </c>
      <c r="D176" s="78" t="s">
        <v>4502</v>
      </c>
      <c r="E176" s="78" t="s">
        <v>2783</v>
      </c>
      <c r="F176" s="81" t="s">
        <v>4196</v>
      </c>
      <c r="G176" s="82">
        <v>1.010101135E9</v>
      </c>
      <c r="H176" s="78" t="s">
        <v>4120</v>
      </c>
      <c r="I176" s="92" t="s">
        <v>657</v>
      </c>
      <c r="J176" s="81">
        <v>6.7613825E7</v>
      </c>
      <c r="K176" s="93">
        <v>5159000.0</v>
      </c>
      <c r="L176" s="94">
        <v>45727.0</v>
      </c>
      <c r="M176" s="95"/>
    </row>
    <row r="177">
      <c r="A177" s="77">
        <v>181.0</v>
      </c>
      <c r="B177" s="78" t="s">
        <v>4193</v>
      </c>
      <c r="C177" s="79">
        <v>2.0251100016343E13</v>
      </c>
      <c r="D177" s="78" t="s">
        <v>4503</v>
      </c>
      <c r="E177" s="78" t="s">
        <v>135</v>
      </c>
      <c r="F177" s="81" t="s">
        <v>4196</v>
      </c>
      <c r="G177" s="82">
        <v>1.013590021E9</v>
      </c>
      <c r="H177" s="78" t="s">
        <v>4156</v>
      </c>
      <c r="I177" s="92" t="s">
        <v>4504</v>
      </c>
      <c r="J177" s="81">
        <v>6.7639925E7</v>
      </c>
      <c r="K177" s="93">
        <v>8500000.0</v>
      </c>
      <c r="L177" s="94">
        <v>45727.0</v>
      </c>
      <c r="M177" s="95"/>
    </row>
    <row r="178">
      <c r="A178" s="77">
        <v>182.0</v>
      </c>
      <c r="B178" s="78" t="s">
        <v>4193</v>
      </c>
      <c r="C178" s="79">
        <v>2.0251020016583E13</v>
      </c>
      <c r="D178" s="78" t="s">
        <v>4505</v>
      </c>
      <c r="E178" s="78" t="s">
        <v>171</v>
      </c>
      <c r="F178" s="81" t="s">
        <v>4196</v>
      </c>
      <c r="G178" s="82">
        <v>1.014288171E9</v>
      </c>
      <c r="H178" s="78" t="s">
        <v>4093</v>
      </c>
      <c r="I178" s="92" t="s">
        <v>4295</v>
      </c>
      <c r="J178" s="81">
        <v>7.2359325E7</v>
      </c>
      <c r="K178" s="93">
        <v>9000000.0</v>
      </c>
      <c r="L178" s="94">
        <v>45733.0</v>
      </c>
      <c r="M178" s="95"/>
    </row>
    <row r="179">
      <c r="A179" s="77">
        <v>183.0</v>
      </c>
      <c r="B179" s="78" t="s">
        <v>4193</v>
      </c>
      <c r="C179" s="79">
        <v>2.0251110016633E13</v>
      </c>
      <c r="D179" s="78" t="s">
        <v>4506</v>
      </c>
      <c r="E179" s="78" t="s">
        <v>904</v>
      </c>
      <c r="F179" s="81" t="s">
        <v>4196</v>
      </c>
      <c r="G179" s="82">
        <v>1.049623315E9</v>
      </c>
      <c r="H179" s="78" t="s">
        <v>4507</v>
      </c>
      <c r="I179" s="92" t="s">
        <v>524</v>
      </c>
      <c r="J179" s="81">
        <v>6.8325925E7</v>
      </c>
      <c r="K179" s="93">
        <v>4960000.0</v>
      </c>
      <c r="L179" s="94">
        <v>45728.0</v>
      </c>
      <c r="M179" s="95"/>
    </row>
    <row r="180">
      <c r="A180" s="77">
        <v>185.0</v>
      </c>
      <c r="B180" s="78" t="s">
        <v>4193</v>
      </c>
      <c r="C180" s="79">
        <v>2.0251610016063E13</v>
      </c>
      <c r="D180" s="78" t="s">
        <v>4508</v>
      </c>
      <c r="E180" s="78" t="s">
        <v>653</v>
      </c>
      <c r="F180" s="81" t="s">
        <v>4196</v>
      </c>
      <c r="G180" s="82">
        <v>1.073236997E9</v>
      </c>
      <c r="H180" s="78" t="s">
        <v>4509</v>
      </c>
      <c r="I180" s="92" t="s">
        <v>557</v>
      </c>
      <c r="J180" s="81">
        <v>6.7432925E7</v>
      </c>
      <c r="K180" s="93">
        <v>1.29115E7</v>
      </c>
      <c r="L180" s="94">
        <v>45727.0</v>
      </c>
      <c r="M180" s="95"/>
    </row>
    <row r="181">
      <c r="A181" s="77">
        <v>186.0</v>
      </c>
      <c r="B181" s="78" t="s">
        <v>4193</v>
      </c>
      <c r="C181" s="79">
        <v>2.0251020016673E13</v>
      </c>
      <c r="D181" s="78" t="s">
        <v>4510</v>
      </c>
      <c r="E181" s="78" t="s">
        <v>718</v>
      </c>
      <c r="F181" s="81" t="s">
        <v>4196</v>
      </c>
      <c r="G181" s="82">
        <v>5.530598E7</v>
      </c>
      <c r="H181" s="78" t="s">
        <v>4511</v>
      </c>
      <c r="I181" s="92" t="s">
        <v>1232</v>
      </c>
      <c r="J181" s="81">
        <v>7.0167525E7</v>
      </c>
      <c r="K181" s="93">
        <v>6500000.0</v>
      </c>
      <c r="L181" s="94">
        <v>45729.0</v>
      </c>
      <c r="M181" s="95"/>
    </row>
    <row r="182">
      <c r="A182" s="77">
        <v>187.0</v>
      </c>
      <c r="B182" s="78" t="s">
        <v>4193</v>
      </c>
      <c r="C182" s="79">
        <v>2.0251000016723E13</v>
      </c>
      <c r="D182" s="78" t="s">
        <v>4512</v>
      </c>
      <c r="E182" s="78" t="s">
        <v>1096</v>
      </c>
      <c r="F182" s="81" t="s">
        <v>4196</v>
      </c>
      <c r="G182" s="82">
        <v>5.3176483E7</v>
      </c>
      <c r="H182" s="78" t="s">
        <v>4513</v>
      </c>
      <c r="I182" s="92" t="s">
        <v>2663</v>
      </c>
      <c r="J182" s="81">
        <v>7.6585725E7</v>
      </c>
      <c r="K182" s="93">
        <v>2333333.0</v>
      </c>
      <c r="L182" s="94">
        <v>45735.0</v>
      </c>
      <c r="M182" s="95"/>
    </row>
    <row r="183">
      <c r="A183" s="77">
        <v>188.0</v>
      </c>
      <c r="B183" s="78" t="s">
        <v>4193</v>
      </c>
      <c r="C183" s="79">
        <v>2.0251300016733E13</v>
      </c>
      <c r="D183" s="78" t="s">
        <v>4514</v>
      </c>
      <c r="E183" s="78" t="s">
        <v>501</v>
      </c>
      <c r="F183" s="81" t="s">
        <v>4196</v>
      </c>
      <c r="G183" s="82">
        <v>1.070954996E9</v>
      </c>
      <c r="H183" s="78" t="s">
        <v>4091</v>
      </c>
      <c r="I183" s="92" t="s">
        <v>438</v>
      </c>
      <c r="J183" s="81">
        <v>6.8323125E7</v>
      </c>
      <c r="K183" s="93">
        <v>6300000.0</v>
      </c>
      <c r="L183" s="94">
        <v>45728.0</v>
      </c>
      <c r="M183" s="95"/>
    </row>
    <row r="184">
      <c r="A184" s="77">
        <v>189.0</v>
      </c>
      <c r="B184" s="78" t="s">
        <v>4193</v>
      </c>
      <c r="C184" s="79">
        <v>2.0251000016753E13</v>
      </c>
      <c r="D184" s="78" t="s">
        <v>4515</v>
      </c>
      <c r="E184" s="78" t="s">
        <v>4068</v>
      </c>
      <c r="F184" s="81" t="s">
        <v>4196</v>
      </c>
      <c r="G184" s="82">
        <v>1.037608001E9</v>
      </c>
      <c r="H184" s="78" t="s">
        <v>4069</v>
      </c>
      <c r="I184" s="92" t="s">
        <v>2663</v>
      </c>
      <c r="J184" s="81">
        <v>6.5552325E7</v>
      </c>
      <c r="K184" s="93">
        <v>7400000.0</v>
      </c>
      <c r="L184" s="94">
        <v>45726.0</v>
      </c>
      <c r="M184" s="95"/>
    </row>
    <row r="185">
      <c r="A185" s="77">
        <v>190.0</v>
      </c>
      <c r="B185" s="78" t="s">
        <v>4193</v>
      </c>
      <c r="C185" s="79">
        <v>2.0251000016763E13</v>
      </c>
      <c r="D185" s="78" t="s">
        <v>4516</v>
      </c>
      <c r="E185" s="78" t="s">
        <v>795</v>
      </c>
      <c r="F185" s="81" t="s">
        <v>4196</v>
      </c>
      <c r="G185" s="82">
        <v>4517491.0</v>
      </c>
      <c r="H185" s="78" t="s">
        <v>4517</v>
      </c>
      <c r="I185" s="92" t="s">
        <v>2663</v>
      </c>
      <c r="J185" s="81" t="s">
        <v>4518</v>
      </c>
      <c r="K185" s="93">
        <v>6026125.0</v>
      </c>
      <c r="L185" s="94">
        <v>45726.0</v>
      </c>
      <c r="M185" s="95"/>
    </row>
    <row r="186">
      <c r="A186" s="77">
        <v>191.0</v>
      </c>
      <c r="B186" s="78" t="s">
        <v>4193</v>
      </c>
      <c r="C186" s="79">
        <v>2.0251000016783E13</v>
      </c>
      <c r="D186" s="78" t="s">
        <v>4519</v>
      </c>
      <c r="E186" s="78" t="s">
        <v>1053</v>
      </c>
      <c r="F186" s="81" t="s">
        <v>4196</v>
      </c>
      <c r="G186" s="82">
        <v>1.070969778E9</v>
      </c>
      <c r="H186" s="78" t="s">
        <v>4520</v>
      </c>
      <c r="I186" s="92" t="s">
        <v>2663</v>
      </c>
      <c r="J186" s="81">
        <v>6.7424825E7</v>
      </c>
      <c r="K186" s="93">
        <v>3600000.0</v>
      </c>
      <c r="L186" s="94">
        <v>45727.0</v>
      </c>
      <c r="M186" s="95"/>
    </row>
    <row r="187">
      <c r="A187" s="77">
        <v>192.0</v>
      </c>
      <c r="B187" s="78" t="s">
        <v>4193</v>
      </c>
      <c r="C187" s="79">
        <v>2.0251000016773E13</v>
      </c>
      <c r="D187" s="78" t="s">
        <v>4521</v>
      </c>
      <c r="E187" s="78" t="s">
        <v>1034</v>
      </c>
      <c r="F187" s="81" t="s">
        <v>4196</v>
      </c>
      <c r="G187" s="82">
        <v>5.2151456E7</v>
      </c>
      <c r="H187" s="78" t="s">
        <v>4522</v>
      </c>
      <c r="I187" s="92" t="s">
        <v>2663</v>
      </c>
      <c r="J187" s="81">
        <v>6.7417325E7</v>
      </c>
      <c r="K187" s="93">
        <v>4370000.0</v>
      </c>
      <c r="L187" s="94">
        <v>45727.0</v>
      </c>
      <c r="M187" s="95"/>
    </row>
    <row r="188">
      <c r="A188" s="77">
        <v>193.0</v>
      </c>
      <c r="B188" s="78" t="s">
        <v>4193</v>
      </c>
      <c r="C188" s="79">
        <v>2.0251610016563E13</v>
      </c>
      <c r="D188" s="78" t="s">
        <v>4523</v>
      </c>
      <c r="E188" s="78" t="s">
        <v>770</v>
      </c>
      <c r="F188" s="81" t="s">
        <v>4196</v>
      </c>
      <c r="G188" s="82">
        <v>1.15245016E9</v>
      </c>
      <c r="H188" s="78" t="s">
        <v>4524</v>
      </c>
      <c r="I188" s="92" t="s">
        <v>874</v>
      </c>
      <c r="J188" s="81">
        <v>7.2358425E7</v>
      </c>
      <c r="K188" s="93">
        <v>3791060.0</v>
      </c>
      <c r="L188" s="94">
        <v>45733.0</v>
      </c>
      <c r="M188" s="95"/>
    </row>
    <row r="189">
      <c r="A189" s="77">
        <v>194.0</v>
      </c>
      <c r="B189" s="78" t="s">
        <v>4193</v>
      </c>
      <c r="C189" s="79">
        <v>2.0251000016793E13</v>
      </c>
      <c r="D189" s="78" t="s">
        <v>4525</v>
      </c>
      <c r="E189" s="78" t="s">
        <v>1049</v>
      </c>
      <c r="F189" s="81" t="s">
        <v>4196</v>
      </c>
      <c r="G189" s="82">
        <v>5.2802056E7</v>
      </c>
      <c r="H189" s="78" t="s">
        <v>4526</v>
      </c>
      <c r="I189" s="92" t="s">
        <v>2663</v>
      </c>
      <c r="J189" s="81">
        <v>6.7655225E7</v>
      </c>
      <c r="K189" s="93">
        <v>4419600.0</v>
      </c>
      <c r="L189" s="94">
        <v>45727.0</v>
      </c>
      <c r="M189" s="95"/>
    </row>
    <row r="190">
      <c r="A190" s="77">
        <v>195.0</v>
      </c>
      <c r="B190" s="78" t="s">
        <v>4193</v>
      </c>
      <c r="C190" s="79">
        <v>2.0251000016803E13</v>
      </c>
      <c r="D190" s="78" t="s">
        <v>4527</v>
      </c>
      <c r="E190" s="78" t="s">
        <v>1084</v>
      </c>
      <c r="F190" s="81" t="s">
        <v>4196</v>
      </c>
      <c r="G190" s="82">
        <v>1.049646618E9</v>
      </c>
      <c r="H190" s="78" t="s">
        <v>4528</v>
      </c>
      <c r="I190" s="92" t="s">
        <v>2663</v>
      </c>
      <c r="J190" s="81">
        <v>6.8318025E7</v>
      </c>
      <c r="K190" s="93">
        <v>2916667.0</v>
      </c>
      <c r="L190" s="94">
        <v>45728.0</v>
      </c>
      <c r="M190" s="95"/>
    </row>
    <row r="191">
      <c r="A191" s="77">
        <v>196.0</v>
      </c>
      <c r="B191" s="78" t="s">
        <v>4193</v>
      </c>
      <c r="C191" s="79">
        <v>2.0251020016813E13</v>
      </c>
      <c r="D191" s="78" t="s">
        <v>4529</v>
      </c>
      <c r="E191" s="78" t="s">
        <v>4530</v>
      </c>
      <c r="F191" s="81" t="s">
        <v>4196</v>
      </c>
      <c r="G191" s="82">
        <v>1.016069508E9</v>
      </c>
      <c r="H191" s="78" t="s">
        <v>4531</v>
      </c>
      <c r="I191" s="92" t="s">
        <v>4319</v>
      </c>
      <c r="J191" s="81">
        <v>7.2986325E7</v>
      </c>
      <c r="K191" s="93">
        <v>7087500.0</v>
      </c>
      <c r="L191" s="94">
        <v>45733.0</v>
      </c>
      <c r="M191" s="95"/>
    </row>
    <row r="192">
      <c r="A192" s="77">
        <v>197.0</v>
      </c>
      <c r="B192" s="78" t="s">
        <v>4193</v>
      </c>
      <c r="C192" s="79">
        <v>2.0251300016823E13</v>
      </c>
      <c r="D192" s="78" t="s">
        <v>4514</v>
      </c>
      <c r="E192" s="78" t="s">
        <v>2872</v>
      </c>
      <c r="F192" s="81" t="s">
        <v>4196</v>
      </c>
      <c r="G192" s="82">
        <v>1.024554244E9</v>
      </c>
      <c r="H192" s="78" t="s">
        <v>4085</v>
      </c>
      <c r="I192" s="92" t="s">
        <v>438</v>
      </c>
      <c r="J192" s="81">
        <v>6.9239625E7</v>
      </c>
      <c r="K192" s="93">
        <v>5100000.0</v>
      </c>
      <c r="L192" s="94">
        <v>45728.0</v>
      </c>
      <c r="M192" s="95"/>
    </row>
    <row r="193">
      <c r="A193" s="77">
        <v>198.0</v>
      </c>
      <c r="B193" s="78" t="s">
        <v>4193</v>
      </c>
      <c r="C193" s="79">
        <v>2.0251300016843E13</v>
      </c>
      <c r="D193" s="78" t="s">
        <v>4514</v>
      </c>
      <c r="E193" s="78" t="s">
        <v>2860</v>
      </c>
      <c r="F193" s="81" t="s">
        <v>4196</v>
      </c>
      <c r="G193" s="82">
        <v>7.9972544E7</v>
      </c>
      <c r="H193" s="78" t="s">
        <v>4148</v>
      </c>
      <c r="I193" s="92" t="s">
        <v>438</v>
      </c>
      <c r="J193" s="81">
        <v>6.9239125E7</v>
      </c>
      <c r="K193" s="93">
        <v>7290000.0</v>
      </c>
      <c r="L193" s="94">
        <v>45728.0</v>
      </c>
      <c r="M193" s="95"/>
    </row>
    <row r="194">
      <c r="A194" s="77">
        <v>199.0</v>
      </c>
      <c r="B194" s="78" t="s">
        <v>4193</v>
      </c>
      <c r="C194" s="79">
        <v>2.0251000016863E13</v>
      </c>
      <c r="D194" s="78" t="s">
        <v>4532</v>
      </c>
      <c r="E194" s="78" t="s">
        <v>3465</v>
      </c>
      <c r="F194" s="81" t="s">
        <v>4196</v>
      </c>
      <c r="G194" s="82">
        <v>1.031141613E9</v>
      </c>
      <c r="H194" s="78" t="s">
        <v>4533</v>
      </c>
      <c r="I194" s="92" t="s">
        <v>2663</v>
      </c>
      <c r="J194" s="81">
        <v>7.6584225E7</v>
      </c>
      <c r="K194" s="93">
        <v>2730000.0</v>
      </c>
      <c r="L194" s="94">
        <v>45735.0</v>
      </c>
      <c r="M194" s="95"/>
    </row>
    <row r="195">
      <c r="A195" s="77">
        <v>200.0</v>
      </c>
      <c r="B195" s="78" t="s">
        <v>4193</v>
      </c>
      <c r="C195" s="79">
        <v>2.0251610016573E13</v>
      </c>
      <c r="D195" s="78" t="s">
        <v>4534</v>
      </c>
      <c r="E195" s="78" t="s">
        <v>1009</v>
      </c>
      <c r="F195" s="81" t="s">
        <v>4196</v>
      </c>
      <c r="G195" s="82">
        <v>1.152204081E9</v>
      </c>
      <c r="H195" s="78" t="s">
        <v>4535</v>
      </c>
      <c r="I195" s="92" t="s">
        <v>4536</v>
      </c>
      <c r="J195" s="81">
        <v>6.8324825E7</v>
      </c>
      <c r="K195" s="93">
        <v>5559540.0</v>
      </c>
      <c r="L195" s="94">
        <v>45728.0</v>
      </c>
      <c r="M195" s="95"/>
    </row>
    <row r="196">
      <c r="A196" s="77">
        <v>201.0</v>
      </c>
      <c r="B196" s="78" t="s">
        <v>4193</v>
      </c>
      <c r="C196" s="96">
        <v>2.0251900017063E13</v>
      </c>
      <c r="D196" s="78" t="s">
        <v>4537</v>
      </c>
      <c r="E196" s="78" t="s">
        <v>1139</v>
      </c>
      <c r="F196" s="81" t="s">
        <v>4196</v>
      </c>
      <c r="G196" s="82">
        <v>8.0111613E7</v>
      </c>
      <c r="H196" s="78" t="s">
        <v>4538</v>
      </c>
      <c r="I196" s="92" t="s">
        <v>992</v>
      </c>
      <c r="J196" s="81">
        <v>6.9240725E7</v>
      </c>
      <c r="K196" s="93">
        <v>700000.0</v>
      </c>
      <c r="L196" s="94">
        <v>45728.0</v>
      </c>
      <c r="M196" s="95"/>
    </row>
    <row r="197">
      <c r="A197" s="77">
        <v>202.0</v>
      </c>
      <c r="B197" s="78" t="s">
        <v>4193</v>
      </c>
      <c r="C197" s="79">
        <v>2.0251000016493E13</v>
      </c>
      <c r="D197" s="78" t="s">
        <v>4539</v>
      </c>
      <c r="E197" s="78" t="s">
        <v>2866</v>
      </c>
      <c r="F197" s="81" t="s">
        <v>4196</v>
      </c>
      <c r="G197" s="82">
        <v>1.020751785E9</v>
      </c>
      <c r="H197" s="78" t="s">
        <v>4150</v>
      </c>
      <c r="I197" s="92" t="s">
        <v>657</v>
      </c>
      <c r="J197" s="81">
        <v>6.8324225E7</v>
      </c>
      <c r="K197" s="93">
        <v>6000000.0</v>
      </c>
      <c r="L197" s="94">
        <v>45728.0</v>
      </c>
      <c r="M197" s="95"/>
    </row>
    <row r="198">
      <c r="A198" s="77">
        <v>203.0</v>
      </c>
      <c r="B198" s="78" t="s">
        <v>4193</v>
      </c>
      <c r="C198" s="79">
        <v>2.0251000017133E13</v>
      </c>
      <c r="D198" s="78" t="s">
        <v>4540</v>
      </c>
      <c r="E198" s="78" t="s">
        <v>94</v>
      </c>
      <c r="F198" s="81" t="s">
        <v>4196</v>
      </c>
      <c r="G198" s="82">
        <v>1.085276539E9</v>
      </c>
      <c r="H198" s="78" t="s">
        <v>4118</v>
      </c>
      <c r="I198" s="92" t="s">
        <v>410</v>
      </c>
      <c r="J198" s="81" t="s">
        <v>4541</v>
      </c>
      <c r="K198" s="93">
        <v>1.2764674E7</v>
      </c>
      <c r="L198" s="94">
        <v>45729.0</v>
      </c>
      <c r="M198" s="95"/>
    </row>
    <row r="199">
      <c r="A199" s="77">
        <v>204.0</v>
      </c>
      <c r="B199" s="78" t="s">
        <v>4193</v>
      </c>
      <c r="C199" s="79">
        <v>2.0251610016553E13</v>
      </c>
      <c r="D199" s="78" t="s">
        <v>4542</v>
      </c>
      <c r="E199" s="78" t="s">
        <v>1072</v>
      </c>
      <c r="F199" s="81" t="s">
        <v>4196</v>
      </c>
      <c r="G199" s="82">
        <v>1.113638043E9</v>
      </c>
      <c r="H199" s="78" t="s">
        <v>4543</v>
      </c>
      <c r="I199" s="92" t="s">
        <v>874</v>
      </c>
      <c r="J199" s="81">
        <v>7.2358625E7</v>
      </c>
      <c r="K199" s="93">
        <v>4901667.0</v>
      </c>
      <c r="L199" s="94">
        <v>45733.0</v>
      </c>
      <c r="M199" s="95"/>
    </row>
    <row r="200">
      <c r="A200" s="77">
        <v>205.0</v>
      </c>
      <c r="B200" s="78" t="s">
        <v>4193</v>
      </c>
      <c r="C200" s="79">
        <v>2.0251000017163E13</v>
      </c>
      <c r="D200" s="78" t="s">
        <v>4544</v>
      </c>
      <c r="E200" s="78" t="s">
        <v>722</v>
      </c>
      <c r="F200" s="81" t="s">
        <v>4196</v>
      </c>
      <c r="G200" s="82">
        <v>1.03117359E9</v>
      </c>
      <c r="H200" s="78" t="s">
        <v>4545</v>
      </c>
      <c r="I200" s="92" t="s">
        <v>657</v>
      </c>
      <c r="J200" s="81">
        <v>6.7612625E7</v>
      </c>
      <c r="K200" s="93">
        <v>5400000.0</v>
      </c>
      <c r="L200" s="94">
        <v>45727.0</v>
      </c>
      <c r="M200" s="95"/>
    </row>
    <row r="201">
      <c r="A201" s="77">
        <v>206.0</v>
      </c>
      <c r="B201" s="78" t="s">
        <v>4193</v>
      </c>
      <c r="C201" s="79">
        <v>2.0251000017153E13</v>
      </c>
      <c r="D201" s="78" t="s">
        <v>4546</v>
      </c>
      <c r="E201" s="78" t="s">
        <v>2836</v>
      </c>
      <c r="F201" s="81" t="s">
        <v>4196</v>
      </c>
      <c r="G201" s="82">
        <v>1.01428721E9</v>
      </c>
      <c r="H201" s="78" t="s">
        <v>4140</v>
      </c>
      <c r="I201" s="92" t="s">
        <v>657</v>
      </c>
      <c r="J201" s="81">
        <v>7.2359225E7</v>
      </c>
      <c r="K201" s="93">
        <v>7016000.0</v>
      </c>
      <c r="L201" s="94">
        <v>45733.0</v>
      </c>
      <c r="M201" s="95"/>
    </row>
    <row r="202">
      <c r="A202" s="77">
        <v>207.0</v>
      </c>
      <c r="B202" s="78" t="s">
        <v>4193</v>
      </c>
      <c r="C202" s="79">
        <v>2.0251000017193E13</v>
      </c>
      <c r="D202" s="78" t="s">
        <v>4547</v>
      </c>
      <c r="E202" s="78" t="s">
        <v>1041</v>
      </c>
      <c r="F202" s="81" t="s">
        <v>4196</v>
      </c>
      <c r="G202" s="82">
        <v>1.013597889E9</v>
      </c>
      <c r="H202" s="78" t="s">
        <v>4548</v>
      </c>
      <c r="I202" s="92" t="s">
        <v>657</v>
      </c>
      <c r="J202" s="81">
        <v>6.7618125E7</v>
      </c>
      <c r="K202" s="93">
        <v>2700000.0</v>
      </c>
      <c r="L202" s="94">
        <v>45727.0</v>
      </c>
      <c r="M202" s="95"/>
    </row>
    <row r="203">
      <c r="A203" s="77">
        <v>208.0</v>
      </c>
      <c r="B203" s="78" t="s">
        <v>4193</v>
      </c>
      <c r="C203" s="79">
        <v>2.0251000017173E13</v>
      </c>
      <c r="D203" s="78" t="s">
        <v>4549</v>
      </c>
      <c r="E203" s="78" t="s">
        <v>731</v>
      </c>
      <c r="F203" s="81" t="s">
        <v>4196</v>
      </c>
      <c r="G203" s="82">
        <v>1.235539689E9</v>
      </c>
      <c r="H203" s="78" t="s">
        <v>4550</v>
      </c>
      <c r="I203" s="92" t="s">
        <v>657</v>
      </c>
      <c r="J203" s="81">
        <v>6.7627925E7</v>
      </c>
      <c r="K203" s="93">
        <v>2961000.0</v>
      </c>
      <c r="L203" s="94">
        <v>45727.0</v>
      </c>
      <c r="M203" s="95"/>
    </row>
    <row r="204">
      <c r="A204" s="77">
        <v>209.0</v>
      </c>
      <c r="B204" s="78" t="s">
        <v>4193</v>
      </c>
      <c r="C204" s="79">
        <v>2.0251530017223E13</v>
      </c>
      <c r="D204" s="78" t="s">
        <v>4551</v>
      </c>
      <c r="E204" s="78" t="s">
        <v>899</v>
      </c>
      <c r="F204" s="81" t="s">
        <v>4196</v>
      </c>
      <c r="G204" s="82">
        <v>7.9272744E7</v>
      </c>
      <c r="H204" s="78" t="s">
        <v>4552</v>
      </c>
      <c r="I204" s="92" t="s">
        <v>973</v>
      </c>
      <c r="J204" s="81">
        <v>6.7630825E7</v>
      </c>
      <c r="K204" s="93">
        <v>6080500.0</v>
      </c>
      <c r="L204" s="94">
        <v>45727.0</v>
      </c>
      <c r="M204" s="95"/>
    </row>
    <row r="205">
      <c r="A205" s="77">
        <v>210.0</v>
      </c>
      <c r="B205" s="78" t="s">
        <v>4193</v>
      </c>
      <c r="C205" s="79">
        <v>2.0251120017293E13</v>
      </c>
      <c r="D205" s="78" t="s">
        <v>4553</v>
      </c>
      <c r="E205" s="78" t="s">
        <v>237</v>
      </c>
      <c r="F205" s="81" t="s">
        <v>4196</v>
      </c>
      <c r="G205" s="82">
        <v>9.1251483E7</v>
      </c>
      <c r="H205" s="78" t="s">
        <v>4013</v>
      </c>
      <c r="I205" s="92" t="s">
        <v>4554</v>
      </c>
      <c r="J205" s="81">
        <v>7.2358725E7</v>
      </c>
      <c r="K205" s="93">
        <v>7366800.0</v>
      </c>
      <c r="L205" s="94">
        <v>45733.0</v>
      </c>
      <c r="M205" s="95"/>
    </row>
    <row r="206">
      <c r="A206" s="77">
        <v>211.0</v>
      </c>
      <c r="B206" s="78" t="s">
        <v>4193</v>
      </c>
      <c r="C206" s="79">
        <v>2.0251700017213E13</v>
      </c>
      <c r="D206" s="78" t="s">
        <v>4555</v>
      </c>
      <c r="E206" s="78" t="s">
        <v>4556</v>
      </c>
      <c r="F206" s="81" t="s">
        <v>4196</v>
      </c>
      <c r="G206" s="82">
        <v>1.1236019E7</v>
      </c>
      <c r="H206" s="78" t="s">
        <v>4557</v>
      </c>
      <c r="I206" s="92" t="s">
        <v>153</v>
      </c>
      <c r="J206" s="81">
        <v>6.8323325E7</v>
      </c>
      <c r="K206" s="93">
        <v>5746650.0</v>
      </c>
      <c r="L206" s="94">
        <v>45728.0</v>
      </c>
      <c r="M206" s="95"/>
    </row>
    <row r="207">
      <c r="A207" s="77">
        <v>212.0</v>
      </c>
      <c r="B207" s="78" t="s">
        <v>4193</v>
      </c>
      <c r="C207" s="79">
        <v>2.0251020017313E13</v>
      </c>
      <c r="D207" s="78" t="s">
        <v>4558</v>
      </c>
      <c r="E207" s="78" t="s">
        <v>324</v>
      </c>
      <c r="F207" s="81" t="s">
        <v>4196</v>
      </c>
      <c r="G207" s="82">
        <v>1.152693194E9</v>
      </c>
      <c r="H207" s="78" t="s">
        <v>4152</v>
      </c>
      <c r="I207" s="92" t="s">
        <v>4295</v>
      </c>
      <c r="J207" s="81">
        <v>7.7444825E7</v>
      </c>
      <c r="K207" s="93">
        <v>5000000.0</v>
      </c>
      <c r="L207" s="94">
        <v>45736.0</v>
      </c>
      <c r="M207" s="95"/>
    </row>
    <row r="208">
      <c r="A208" s="77">
        <v>213.0</v>
      </c>
      <c r="B208" s="78" t="s">
        <v>4193</v>
      </c>
      <c r="C208" s="79">
        <v>2.0251000017183E13</v>
      </c>
      <c r="D208" s="78" t="s">
        <v>4559</v>
      </c>
      <c r="E208" s="78" t="s">
        <v>594</v>
      </c>
      <c r="F208" s="81" t="s">
        <v>4196</v>
      </c>
      <c r="G208" s="82">
        <v>7.9217264E7</v>
      </c>
      <c r="H208" s="78" t="s">
        <v>4560</v>
      </c>
      <c r="I208" s="92" t="s">
        <v>657</v>
      </c>
      <c r="J208" s="81">
        <v>6.9238525E7</v>
      </c>
      <c r="K208" s="93">
        <v>4804000.0</v>
      </c>
      <c r="L208" s="94">
        <v>45728.0</v>
      </c>
      <c r="M208" s="95"/>
    </row>
    <row r="209">
      <c r="A209" s="77">
        <v>214.0</v>
      </c>
      <c r="B209" s="78" t="s">
        <v>4193</v>
      </c>
      <c r="C209" s="96">
        <v>2.0251020017493E13</v>
      </c>
      <c r="D209" s="78" t="s">
        <v>4561</v>
      </c>
      <c r="E209" s="78" t="s">
        <v>358</v>
      </c>
      <c r="F209" s="81" t="s">
        <v>4196</v>
      </c>
      <c r="G209" s="82">
        <v>1.098310315E9</v>
      </c>
      <c r="H209" s="78" t="s">
        <v>3936</v>
      </c>
      <c r="I209" s="92" t="s">
        <v>257</v>
      </c>
      <c r="J209" s="81">
        <v>6.8323725E7</v>
      </c>
      <c r="K209" s="93">
        <v>8274000.0</v>
      </c>
      <c r="L209" s="94">
        <v>45728.0</v>
      </c>
      <c r="M209" s="95"/>
    </row>
    <row r="210">
      <c r="A210" s="77">
        <v>215.0</v>
      </c>
      <c r="B210" s="78" t="s">
        <v>4193</v>
      </c>
      <c r="C210" s="79">
        <v>2.0251110017503E13</v>
      </c>
      <c r="D210" s="78" t="s">
        <v>4562</v>
      </c>
      <c r="E210" s="78" t="s">
        <v>4563</v>
      </c>
      <c r="F210" s="81" t="s">
        <v>4127</v>
      </c>
      <c r="G210" s="82">
        <v>9.00586128E8</v>
      </c>
      <c r="H210" s="78" t="s">
        <v>4564</v>
      </c>
      <c r="I210" s="92" t="s">
        <v>524</v>
      </c>
      <c r="J210" s="81">
        <v>6.7652225E7</v>
      </c>
      <c r="K210" s="93">
        <v>4558480.0</v>
      </c>
      <c r="L210" s="94">
        <v>45727.0</v>
      </c>
      <c r="M210" s="95"/>
    </row>
    <row r="211">
      <c r="A211" s="77">
        <v>216.0</v>
      </c>
      <c r="B211" s="78" t="s">
        <v>4193</v>
      </c>
      <c r="C211" s="79">
        <v>2.0251610017523E13</v>
      </c>
      <c r="D211" s="78" t="s">
        <v>4565</v>
      </c>
      <c r="E211" s="78" t="s">
        <v>649</v>
      </c>
      <c r="F211" s="81" t="s">
        <v>4196</v>
      </c>
      <c r="G211" s="82">
        <v>1.016068292E9</v>
      </c>
      <c r="H211" s="78" t="s">
        <v>4566</v>
      </c>
      <c r="I211" s="92" t="s">
        <v>4360</v>
      </c>
      <c r="J211" s="81">
        <v>7.2358825E7</v>
      </c>
      <c r="K211" s="93">
        <v>8650000.0</v>
      </c>
      <c r="L211" s="94">
        <v>45733.0</v>
      </c>
      <c r="M211" s="95"/>
    </row>
    <row r="212">
      <c r="A212" s="77">
        <v>217.0</v>
      </c>
      <c r="B212" s="78" t="s">
        <v>4193</v>
      </c>
      <c r="C212" s="79">
        <v>2.0251000017543E13</v>
      </c>
      <c r="D212" s="78" t="s">
        <v>4567</v>
      </c>
      <c r="E212" s="78" t="s">
        <v>469</v>
      </c>
      <c r="F212" s="81" t="s">
        <v>4196</v>
      </c>
      <c r="G212" s="82">
        <v>3.9683177E7</v>
      </c>
      <c r="H212" s="78" t="s">
        <v>4568</v>
      </c>
      <c r="I212" s="92" t="s">
        <v>4569</v>
      </c>
      <c r="J212" s="81">
        <v>6.9234025E7</v>
      </c>
      <c r="K212" s="93">
        <v>8500000.0</v>
      </c>
      <c r="L212" s="94">
        <v>45728.0</v>
      </c>
      <c r="M212" s="95"/>
    </row>
    <row r="213">
      <c r="A213" s="77">
        <v>218.0</v>
      </c>
      <c r="B213" s="78" t="s">
        <v>4193</v>
      </c>
      <c r="C213" s="79">
        <v>2.0251110017683E13</v>
      </c>
      <c r="D213" s="78" t="s">
        <v>4570</v>
      </c>
      <c r="E213" s="78" t="s">
        <v>4571</v>
      </c>
      <c r="F213" s="81" t="s">
        <v>4127</v>
      </c>
      <c r="G213" s="98">
        <v>8.60067479E8</v>
      </c>
      <c r="H213" s="78" t="s">
        <v>4572</v>
      </c>
      <c r="I213" s="92" t="s">
        <v>524</v>
      </c>
      <c r="J213" s="81">
        <v>6.9230525E7</v>
      </c>
      <c r="K213" s="93">
        <v>2.012095884E7</v>
      </c>
      <c r="L213" s="94">
        <v>45728.0</v>
      </c>
      <c r="M213" s="95"/>
    </row>
    <row r="214">
      <c r="A214" s="77">
        <v>219.0</v>
      </c>
      <c r="B214" s="78" t="s">
        <v>4193</v>
      </c>
      <c r="C214" s="79">
        <v>2.0251110017713E13</v>
      </c>
      <c r="D214" s="78" t="s">
        <v>4573</v>
      </c>
      <c r="E214" s="78" t="s">
        <v>4574</v>
      </c>
      <c r="F214" s="81" t="s">
        <v>4127</v>
      </c>
      <c r="G214" s="98">
        <v>8.00193221E8</v>
      </c>
      <c r="H214" s="78" t="s">
        <v>4575</v>
      </c>
      <c r="I214" s="92" t="s">
        <v>524</v>
      </c>
      <c r="J214" s="81">
        <v>6.9250225E7</v>
      </c>
      <c r="K214" s="93">
        <v>7715278.0</v>
      </c>
      <c r="L214" s="94">
        <v>45728.0</v>
      </c>
      <c r="M214" s="95"/>
    </row>
    <row r="215">
      <c r="A215" s="77">
        <v>220.0</v>
      </c>
      <c r="B215" s="78" t="s">
        <v>4193</v>
      </c>
      <c r="C215" s="79">
        <v>2.0251110017773E13</v>
      </c>
      <c r="D215" s="78" t="s">
        <v>4576</v>
      </c>
      <c r="E215" s="78" t="s">
        <v>4574</v>
      </c>
      <c r="F215" s="81" t="s">
        <v>4127</v>
      </c>
      <c r="G215" s="98">
        <v>8.00193221E8</v>
      </c>
      <c r="H215" s="78" t="s">
        <v>4575</v>
      </c>
      <c r="I215" s="92" t="s">
        <v>524</v>
      </c>
      <c r="J215" s="81">
        <v>6.9255625E7</v>
      </c>
      <c r="K215" s="93">
        <v>8001634.0</v>
      </c>
      <c r="L215" s="94">
        <v>45728.0</v>
      </c>
      <c r="M215" s="95"/>
    </row>
    <row r="216">
      <c r="A216" s="77">
        <v>221.0</v>
      </c>
      <c r="B216" s="78" t="s">
        <v>4193</v>
      </c>
      <c r="C216" s="79">
        <v>2.0251900018063E13</v>
      </c>
      <c r="D216" s="78" t="s">
        <v>4577</v>
      </c>
      <c r="E216" s="78" t="s">
        <v>243</v>
      </c>
      <c r="F216" s="81" t="s">
        <v>4196</v>
      </c>
      <c r="G216" s="82">
        <v>2.8061081E7</v>
      </c>
      <c r="H216" s="78" t="s">
        <v>4164</v>
      </c>
      <c r="I216" s="92" t="s">
        <v>222</v>
      </c>
      <c r="J216" s="81">
        <v>7.2989625E7</v>
      </c>
      <c r="K216" s="93">
        <v>1.273908E7</v>
      </c>
      <c r="L216" s="94">
        <v>45733.0</v>
      </c>
      <c r="M216" s="95"/>
    </row>
    <row r="217">
      <c r="A217" s="77">
        <v>222.0</v>
      </c>
      <c r="B217" s="78" t="s">
        <v>4193</v>
      </c>
      <c r="C217" s="79">
        <v>2.0251100018083E13</v>
      </c>
      <c r="D217" s="78" t="s">
        <v>4578</v>
      </c>
      <c r="E217" s="78" t="s">
        <v>395</v>
      </c>
      <c r="F217" s="81" t="s">
        <v>4196</v>
      </c>
      <c r="G217" s="82">
        <v>2.6428474E7</v>
      </c>
      <c r="H217" s="78" t="s">
        <v>4579</v>
      </c>
      <c r="I217" s="92" t="s">
        <v>4504</v>
      </c>
      <c r="J217" s="81">
        <v>7.6848325E7</v>
      </c>
      <c r="K217" s="93">
        <v>7907246.0</v>
      </c>
      <c r="L217" s="94">
        <v>45735.0</v>
      </c>
      <c r="M217" s="95"/>
    </row>
    <row r="218">
      <c r="A218" s="77">
        <v>223.0</v>
      </c>
      <c r="B218" s="78" t="s">
        <v>4193</v>
      </c>
      <c r="C218" s="79">
        <v>2.0251020018073E13</v>
      </c>
      <c r="D218" s="78" t="s">
        <v>4580</v>
      </c>
      <c r="E218" s="78" t="s">
        <v>1002</v>
      </c>
      <c r="F218" s="81" t="s">
        <v>4196</v>
      </c>
      <c r="G218" s="82">
        <v>1.015440358E9</v>
      </c>
      <c r="H218" s="78" t="s">
        <v>4581</v>
      </c>
      <c r="I218" s="92" t="s">
        <v>4295</v>
      </c>
      <c r="J218" s="81">
        <v>7.7446825E7</v>
      </c>
      <c r="K218" s="93">
        <v>6129305.0</v>
      </c>
      <c r="L218" s="94">
        <v>45736.0</v>
      </c>
      <c r="M218" s="95"/>
    </row>
    <row r="219">
      <c r="A219" s="77">
        <v>224.0</v>
      </c>
      <c r="B219" s="78" t="s">
        <v>4193</v>
      </c>
      <c r="C219" s="79">
        <v>2.0251020018093E13</v>
      </c>
      <c r="D219" s="78" t="s">
        <v>4582</v>
      </c>
      <c r="E219" s="78" t="s">
        <v>2764</v>
      </c>
      <c r="F219" s="81" t="s">
        <v>4196</v>
      </c>
      <c r="G219" s="82">
        <v>1.095809712E9</v>
      </c>
      <c r="H219" s="78" t="s">
        <v>4098</v>
      </c>
      <c r="I219" s="92" t="s">
        <v>4295</v>
      </c>
      <c r="J219" s="81">
        <v>7.5177725E7</v>
      </c>
      <c r="K219" s="93">
        <v>4525000.0</v>
      </c>
      <c r="L219" s="94">
        <v>45735.0</v>
      </c>
      <c r="M219" s="95"/>
    </row>
    <row r="220">
      <c r="A220" s="77">
        <v>225.0</v>
      </c>
      <c r="B220" s="78" t="s">
        <v>4193</v>
      </c>
      <c r="C220" s="79">
        <v>2.0251900018113E13</v>
      </c>
      <c r="D220" s="78" t="s">
        <v>4583</v>
      </c>
      <c r="E220" s="78" t="s">
        <v>567</v>
      </c>
      <c r="F220" s="81" t="s">
        <v>4196</v>
      </c>
      <c r="G220" s="82">
        <v>7.9434157E7</v>
      </c>
      <c r="H220" s="78" t="s">
        <v>4168</v>
      </c>
      <c r="I220" s="92" t="s">
        <v>433</v>
      </c>
      <c r="J220" s="81">
        <v>7.1657925E7</v>
      </c>
      <c r="K220" s="93">
        <v>4000000.0</v>
      </c>
      <c r="L220" s="94">
        <v>45730.0</v>
      </c>
      <c r="M220" s="95"/>
    </row>
    <row r="221">
      <c r="A221" s="77">
        <v>226.0</v>
      </c>
      <c r="B221" s="78" t="s">
        <v>4193</v>
      </c>
      <c r="C221" s="79">
        <v>2.0251900018293E13</v>
      </c>
      <c r="D221" s="78" t="s">
        <v>4584</v>
      </c>
      <c r="E221" s="78" t="s">
        <v>918</v>
      </c>
      <c r="F221" s="81" t="s">
        <v>4196</v>
      </c>
      <c r="G221" s="82">
        <v>1.077149572E9</v>
      </c>
      <c r="H221" s="78" t="s">
        <v>4585</v>
      </c>
      <c r="I221" s="92" t="s">
        <v>992</v>
      </c>
      <c r="J221" s="81">
        <v>7.3436825E7</v>
      </c>
      <c r="K221" s="93">
        <v>2800000.0</v>
      </c>
      <c r="L221" s="94">
        <v>45733.0</v>
      </c>
      <c r="M221" s="95"/>
    </row>
    <row r="222">
      <c r="A222" s="77">
        <v>227.0</v>
      </c>
      <c r="B222" s="78" t="s">
        <v>4193</v>
      </c>
      <c r="C222" s="79">
        <v>2.0251110018303E13</v>
      </c>
      <c r="D222" s="78" t="s">
        <v>4586</v>
      </c>
      <c r="E222" s="78" t="s">
        <v>4587</v>
      </c>
      <c r="F222" s="81" t="s">
        <v>4127</v>
      </c>
      <c r="G222" s="98">
        <v>8.30001113E8</v>
      </c>
      <c r="H222" s="78" t="s">
        <v>1904</v>
      </c>
      <c r="I222" s="92" t="s">
        <v>524</v>
      </c>
      <c r="J222" s="81">
        <v>7.3453525E7</v>
      </c>
      <c r="K222" s="93">
        <v>4711300.0</v>
      </c>
      <c r="L222" s="94">
        <v>45733.0</v>
      </c>
      <c r="M222" s="95"/>
    </row>
    <row r="223">
      <c r="A223" s="77">
        <v>228.0</v>
      </c>
      <c r="B223" s="78" t="s">
        <v>4193</v>
      </c>
      <c r="C223" s="79">
        <v>2.0251020018323E13</v>
      </c>
      <c r="D223" s="78" t="s">
        <v>4588</v>
      </c>
      <c r="E223" s="78" t="s">
        <v>713</v>
      </c>
      <c r="F223" s="81" t="s">
        <v>4196</v>
      </c>
      <c r="G223" s="82">
        <v>1.032362123E9</v>
      </c>
      <c r="H223" s="78" t="s">
        <v>4589</v>
      </c>
      <c r="I223" s="92" t="s">
        <v>4319</v>
      </c>
      <c r="J223" s="81">
        <v>7.3435825E7</v>
      </c>
      <c r="K223" s="93">
        <v>5833333.0</v>
      </c>
      <c r="L223" s="94">
        <v>45733.0</v>
      </c>
      <c r="M223" s="95"/>
    </row>
    <row r="224">
      <c r="A224" s="77">
        <v>229.0</v>
      </c>
      <c r="B224" s="78" t="s">
        <v>4193</v>
      </c>
      <c r="C224" s="79">
        <v>2.0251110018363E13</v>
      </c>
      <c r="D224" s="78" t="s">
        <v>4590</v>
      </c>
      <c r="E224" s="78" t="s">
        <v>4571</v>
      </c>
      <c r="F224" s="81" t="s">
        <v>4127</v>
      </c>
      <c r="G224" s="98">
        <v>8.60067479E8</v>
      </c>
      <c r="H224" s="78" t="s">
        <v>4572</v>
      </c>
      <c r="I224" s="92" t="s">
        <v>524</v>
      </c>
      <c r="J224" s="81">
        <v>7.2992125E7</v>
      </c>
      <c r="K224" s="93">
        <v>2.039306326E7</v>
      </c>
      <c r="L224" s="94">
        <v>45733.0</v>
      </c>
      <c r="M224" s="95"/>
    </row>
    <row r="225">
      <c r="A225" s="77">
        <v>230.0</v>
      </c>
      <c r="B225" s="78" t="s">
        <v>4193</v>
      </c>
      <c r="C225" s="79">
        <v>2.0251300018443E13</v>
      </c>
      <c r="D225" s="78" t="s">
        <v>4591</v>
      </c>
      <c r="E225" s="78" t="s">
        <v>4124</v>
      </c>
      <c r="F225" s="81" t="s">
        <v>4196</v>
      </c>
      <c r="G225" s="82">
        <v>8.0797794E7</v>
      </c>
      <c r="H225" s="78" t="s">
        <v>4125</v>
      </c>
      <c r="I225" s="92" t="s">
        <v>593</v>
      </c>
      <c r="J225" s="81">
        <v>7.2996425E7</v>
      </c>
      <c r="K225" s="93">
        <v>6000000.0</v>
      </c>
      <c r="L225" s="94">
        <v>45733.0</v>
      </c>
      <c r="M225" s="95"/>
    </row>
    <row r="226">
      <c r="A226" s="77">
        <v>231.0</v>
      </c>
      <c r="B226" s="78" t="s">
        <v>4193</v>
      </c>
      <c r="C226" s="79">
        <v>2.0251000018523E13</v>
      </c>
      <c r="D226" s="78" t="s">
        <v>4592</v>
      </c>
      <c r="E226" s="78" t="s">
        <v>114</v>
      </c>
      <c r="F226" s="81" t="s">
        <v>4196</v>
      </c>
      <c r="G226" s="82">
        <v>5.235846E7</v>
      </c>
      <c r="H226" s="78" t="s">
        <v>4104</v>
      </c>
      <c r="I226" s="92" t="s">
        <v>4593</v>
      </c>
      <c r="J226" s="81">
        <v>7.3438025E7</v>
      </c>
      <c r="K226" s="93">
        <v>8000000.0</v>
      </c>
      <c r="L226" s="94">
        <v>45733.0</v>
      </c>
      <c r="M226" s="95"/>
    </row>
    <row r="227">
      <c r="A227" s="77">
        <v>232.0</v>
      </c>
      <c r="B227" s="78" t="s">
        <v>4193</v>
      </c>
      <c r="C227" s="79">
        <v>2.0251000018533E13</v>
      </c>
      <c r="D227" s="78" t="s">
        <v>4594</v>
      </c>
      <c r="E227" s="78" t="s">
        <v>1100</v>
      </c>
      <c r="F227" s="81" t="s">
        <v>4196</v>
      </c>
      <c r="G227" s="82">
        <v>2.5221017E7</v>
      </c>
      <c r="H227" s="78" t="s">
        <v>4595</v>
      </c>
      <c r="I227" s="92" t="s">
        <v>4593</v>
      </c>
      <c r="J227" s="81">
        <v>7.6582725E7</v>
      </c>
      <c r="K227" s="93">
        <v>1500000.0</v>
      </c>
      <c r="L227" s="94">
        <v>45735.0</v>
      </c>
      <c r="M227" s="95"/>
    </row>
    <row r="228">
      <c r="A228" s="77">
        <v>233.0</v>
      </c>
      <c r="B228" s="78" t="s">
        <v>4193</v>
      </c>
      <c r="C228" s="79">
        <v>2.0251020018583E13</v>
      </c>
      <c r="D228" s="78" t="s">
        <v>4596</v>
      </c>
      <c r="E228" s="78" t="s">
        <v>4597</v>
      </c>
      <c r="F228" s="81" t="s">
        <v>4196</v>
      </c>
      <c r="G228" s="82">
        <v>1.033711205E9</v>
      </c>
      <c r="H228" s="78" t="s">
        <v>4598</v>
      </c>
      <c r="I228" s="92" t="s">
        <v>4319</v>
      </c>
      <c r="J228" s="81">
        <v>8.6979125E7</v>
      </c>
      <c r="K228" s="93">
        <v>3600000.0</v>
      </c>
      <c r="L228" s="94">
        <v>45742.0</v>
      </c>
      <c r="M228" s="95"/>
    </row>
    <row r="229">
      <c r="A229" s="77">
        <v>234.0</v>
      </c>
      <c r="B229" s="78" t="s">
        <v>4193</v>
      </c>
      <c r="C229" s="79">
        <v>2.0251130018683E13</v>
      </c>
      <c r="D229" s="78" t="s">
        <v>4599</v>
      </c>
      <c r="E229" s="78" t="s">
        <v>490</v>
      </c>
      <c r="F229" s="81" t="s">
        <v>4127</v>
      </c>
      <c r="G229" s="82">
        <v>8.30015429E8</v>
      </c>
      <c r="H229" s="78" t="s">
        <v>4600</v>
      </c>
      <c r="I229" s="92" t="s">
        <v>3612</v>
      </c>
      <c r="J229" s="81">
        <v>8.6987725E7</v>
      </c>
      <c r="K229" s="93">
        <v>475797.0</v>
      </c>
      <c r="L229" s="94">
        <v>45742.0</v>
      </c>
      <c r="M229" s="95"/>
    </row>
    <row r="230">
      <c r="A230" s="77">
        <v>235.0</v>
      </c>
      <c r="B230" s="78" t="s">
        <v>4193</v>
      </c>
      <c r="C230" s="79">
        <v>2.0251900018823E13</v>
      </c>
      <c r="D230" s="78" t="s">
        <v>4601</v>
      </c>
      <c r="E230" s="78" t="s">
        <v>726</v>
      </c>
      <c r="F230" s="81" t="s">
        <v>4196</v>
      </c>
      <c r="G230" s="82">
        <v>1.032379284E9</v>
      </c>
      <c r="H230" s="78" t="s">
        <v>4602</v>
      </c>
      <c r="I230" s="92" t="s">
        <v>433</v>
      </c>
      <c r="J230" s="81">
        <v>7.8347025E7</v>
      </c>
      <c r="K230" s="93">
        <v>6066667.0</v>
      </c>
      <c r="L230" s="94">
        <v>45736.0</v>
      </c>
      <c r="M230" s="95"/>
    </row>
    <row r="231">
      <c r="A231" s="77">
        <v>236.0</v>
      </c>
      <c r="B231" s="78" t="s">
        <v>4193</v>
      </c>
      <c r="C231" s="79">
        <v>2.0251120018833E13</v>
      </c>
      <c r="D231" s="78" t="s">
        <v>4603</v>
      </c>
      <c r="E231" s="78" t="s">
        <v>4186</v>
      </c>
      <c r="F231" s="81" t="s">
        <v>4127</v>
      </c>
      <c r="G231" s="82">
        <v>8.0015028E8</v>
      </c>
      <c r="H231" s="78" t="s">
        <v>4188</v>
      </c>
      <c r="I231" s="92" t="s">
        <v>4604</v>
      </c>
      <c r="J231" s="81">
        <v>9.2429025E7</v>
      </c>
      <c r="K231" s="93">
        <v>5590085.0</v>
      </c>
      <c r="L231" s="94">
        <v>45744.0</v>
      </c>
      <c r="M231" s="95"/>
    </row>
    <row r="232">
      <c r="A232" s="77">
        <v>237.0</v>
      </c>
      <c r="B232" s="78" t="s">
        <v>4193</v>
      </c>
      <c r="C232" s="79">
        <v>2.0251110019283E13</v>
      </c>
      <c r="D232" s="78" t="s">
        <v>4605</v>
      </c>
      <c r="E232" s="78" t="s">
        <v>4587</v>
      </c>
      <c r="F232" s="81" t="s">
        <v>4127</v>
      </c>
      <c r="G232" s="98">
        <v>8.30001113E8</v>
      </c>
      <c r="H232" s="78" t="s">
        <v>1904</v>
      </c>
      <c r="I232" s="92" t="s">
        <v>524</v>
      </c>
      <c r="J232" s="81">
        <v>8.6997825E7</v>
      </c>
      <c r="K232" s="93">
        <v>1031500.0</v>
      </c>
      <c r="L232" s="94">
        <v>45742.0</v>
      </c>
      <c r="M232" s="95"/>
    </row>
    <row r="233">
      <c r="A233" s="77">
        <v>238.0</v>
      </c>
      <c r="B233" s="78" t="s">
        <v>4193</v>
      </c>
      <c r="C233" s="79">
        <v>2.0251000019393E13</v>
      </c>
      <c r="D233" s="78" t="s">
        <v>4606</v>
      </c>
      <c r="E233" s="78" t="s">
        <v>1143</v>
      </c>
      <c r="F233" s="81" t="s">
        <v>4196</v>
      </c>
      <c r="G233" s="82">
        <v>1.00022301E9</v>
      </c>
      <c r="H233" s="78" t="s">
        <v>4607</v>
      </c>
      <c r="I233" s="92" t="s">
        <v>657</v>
      </c>
      <c r="J233" s="81">
        <v>8.3659225E7</v>
      </c>
      <c r="K233" s="93">
        <v>233520.0</v>
      </c>
      <c r="L233" s="94">
        <v>45741.0</v>
      </c>
      <c r="M233" s="95"/>
    </row>
    <row r="234">
      <c r="A234" s="77">
        <v>239.0</v>
      </c>
      <c r="B234" s="78" t="s">
        <v>4193</v>
      </c>
      <c r="C234" s="79">
        <v>2.0251020019433E13</v>
      </c>
      <c r="D234" s="78" t="s">
        <v>4608</v>
      </c>
      <c r="E234" s="78" t="s">
        <v>2797</v>
      </c>
      <c r="F234" s="81" t="s">
        <v>4196</v>
      </c>
      <c r="G234" s="82">
        <v>1.032460931E9</v>
      </c>
      <c r="H234" s="78" t="s">
        <v>4106</v>
      </c>
      <c r="I234" s="78" t="s">
        <v>4319</v>
      </c>
      <c r="J234" s="81">
        <v>8.3213425E7</v>
      </c>
      <c r="K234" s="93">
        <v>4161900.0</v>
      </c>
      <c r="L234" s="94">
        <v>45741.0</v>
      </c>
      <c r="M234" s="95"/>
    </row>
    <row r="235">
      <c r="A235" s="77">
        <v>240.0</v>
      </c>
      <c r="B235" s="78" t="s">
        <v>4193</v>
      </c>
      <c r="C235" s="79">
        <v>2.0251140019553E13</v>
      </c>
      <c r="D235" s="78" t="s">
        <v>4609</v>
      </c>
      <c r="E235" s="78" t="s">
        <v>31</v>
      </c>
      <c r="F235" s="81" t="s">
        <v>4196</v>
      </c>
      <c r="G235" s="82">
        <v>5.2369571E7</v>
      </c>
      <c r="H235" s="78" t="s">
        <v>4154</v>
      </c>
      <c r="I235" s="78" t="s">
        <v>40</v>
      </c>
      <c r="J235" s="81">
        <v>9.2899025E7</v>
      </c>
      <c r="K235" s="93">
        <v>8886363.0</v>
      </c>
      <c r="L235" s="94">
        <v>45747.0</v>
      </c>
      <c r="M235" s="95"/>
    </row>
    <row r="236">
      <c r="A236" s="77">
        <v>241.0</v>
      </c>
      <c r="B236" s="78" t="s">
        <v>4193</v>
      </c>
      <c r="C236" s="79">
        <v>2.0251140019583E13</v>
      </c>
      <c r="D236" s="78" t="s">
        <v>4610</v>
      </c>
      <c r="E236" s="78" t="s">
        <v>58</v>
      </c>
      <c r="F236" s="81" t="s">
        <v>4196</v>
      </c>
      <c r="G236" s="82">
        <v>1.057582613E9</v>
      </c>
      <c r="H236" s="78" t="s">
        <v>4182</v>
      </c>
      <c r="I236" s="78" t="s">
        <v>40</v>
      </c>
      <c r="J236" s="81">
        <v>8.6995225E7</v>
      </c>
      <c r="K236" s="93">
        <v>7000000.0</v>
      </c>
      <c r="L236" s="94">
        <v>45742.0</v>
      </c>
      <c r="M236" s="95"/>
    </row>
    <row r="237">
      <c r="A237" s="77">
        <v>242.0</v>
      </c>
      <c r="B237" s="78" t="s">
        <v>4193</v>
      </c>
      <c r="C237" s="79">
        <v>2.0251140019593E13</v>
      </c>
      <c r="D237" s="78" t="s">
        <v>4611</v>
      </c>
      <c r="E237" s="78" t="s">
        <v>73</v>
      </c>
      <c r="F237" s="81" t="s">
        <v>4196</v>
      </c>
      <c r="G237" s="82">
        <v>3.9464093E7</v>
      </c>
      <c r="H237" s="78" t="s">
        <v>4184</v>
      </c>
      <c r="I237" s="78" t="s">
        <v>40</v>
      </c>
      <c r="J237" s="81">
        <v>8.7984225E7</v>
      </c>
      <c r="K237" s="93">
        <v>6000000.0</v>
      </c>
      <c r="L237" s="94">
        <v>45743.0</v>
      </c>
      <c r="M237" s="95"/>
    </row>
    <row r="238">
      <c r="A238" s="77">
        <v>243.0</v>
      </c>
      <c r="B238" s="78" t="s">
        <v>4193</v>
      </c>
      <c r="C238" s="79">
        <v>2.0251110019603E13</v>
      </c>
      <c r="D238" s="78" t="s">
        <v>4612</v>
      </c>
      <c r="E238" s="78" t="s">
        <v>4587</v>
      </c>
      <c r="F238" s="81" t="s">
        <v>4127</v>
      </c>
      <c r="G238" s="98">
        <v>8.30001113E8</v>
      </c>
      <c r="H238" s="78" t="s">
        <v>1904</v>
      </c>
      <c r="I238" s="92" t="s">
        <v>524</v>
      </c>
      <c r="J238" s="81">
        <v>8.6999325E7</v>
      </c>
      <c r="K238" s="93">
        <v>5005000.0</v>
      </c>
      <c r="L238" s="94">
        <v>45742.0</v>
      </c>
      <c r="M238" s="95"/>
    </row>
    <row r="239">
      <c r="A239" s="77">
        <v>244.0</v>
      </c>
      <c r="B239" s="78" t="s">
        <v>4193</v>
      </c>
      <c r="C239" s="79">
        <v>2.0251900019613E13</v>
      </c>
      <c r="D239" s="78" t="s">
        <v>4613</v>
      </c>
      <c r="E239" s="78" t="s">
        <v>927</v>
      </c>
      <c r="F239" s="81" t="s">
        <v>4196</v>
      </c>
      <c r="G239" s="82">
        <v>1.1433786E9</v>
      </c>
      <c r="H239" s="78" t="s">
        <v>4614</v>
      </c>
      <c r="I239" s="99" t="s">
        <v>433</v>
      </c>
      <c r="J239" s="81">
        <v>9.0218725E7</v>
      </c>
      <c r="K239" s="93">
        <v>5600000.0</v>
      </c>
      <c r="L239" s="94">
        <v>45743.0</v>
      </c>
      <c r="M239" s="95"/>
    </row>
    <row r="240">
      <c r="A240" s="77">
        <v>245.0</v>
      </c>
      <c r="B240" s="78" t="s">
        <v>4193</v>
      </c>
      <c r="C240" s="79">
        <v>2.0251300019623E13</v>
      </c>
      <c r="D240" s="78" t="s">
        <v>4615</v>
      </c>
      <c r="E240" s="78" t="s">
        <v>810</v>
      </c>
      <c r="F240" s="81" t="s">
        <v>4196</v>
      </c>
      <c r="G240" s="82">
        <v>1.062425689E9</v>
      </c>
      <c r="H240" s="78" t="s">
        <v>4616</v>
      </c>
      <c r="I240" s="78" t="s">
        <v>192</v>
      </c>
      <c r="J240" s="81">
        <v>9.0221825E7</v>
      </c>
      <c r="K240" s="93">
        <v>1617000.0</v>
      </c>
      <c r="L240" s="94">
        <v>45743.0</v>
      </c>
      <c r="M240" s="95"/>
    </row>
    <row r="241">
      <c r="A241" s="77">
        <v>246.0</v>
      </c>
      <c r="B241" s="78" t="s">
        <v>4193</v>
      </c>
      <c r="C241" s="79">
        <v>2.0251000019803E13</v>
      </c>
      <c r="D241" s="78" t="s">
        <v>4617</v>
      </c>
      <c r="E241" s="78" t="s">
        <v>338</v>
      </c>
      <c r="F241" s="81" t="s">
        <v>4196</v>
      </c>
      <c r="G241" s="82">
        <v>1.136879313E9</v>
      </c>
      <c r="H241" s="78" t="s">
        <v>4144</v>
      </c>
      <c r="I241" s="92" t="s">
        <v>2663</v>
      </c>
      <c r="J241" s="81">
        <v>8.7003725E7</v>
      </c>
      <c r="K241" s="93">
        <v>7200000.0</v>
      </c>
      <c r="L241" s="94">
        <v>45742.0</v>
      </c>
      <c r="M241" s="95"/>
    </row>
    <row r="242">
      <c r="A242" s="77">
        <v>247.0</v>
      </c>
      <c r="B242" s="78" t="s">
        <v>4193</v>
      </c>
      <c r="C242" s="79">
        <v>2.0251000019903E13</v>
      </c>
      <c r="D242" s="78" t="s">
        <v>4618</v>
      </c>
      <c r="E242" s="78" t="s">
        <v>1104</v>
      </c>
      <c r="F242" s="81" t="s">
        <v>4196</v>
      </c>
      <c r="G242" s="82">
        <v>8.706746E7</v>
      </c>
      <c r="H242" s="78" t="s">
        <v>4619</v>
      </c>
      <c r="I242" s="92" t="s">
        <v>2663</v>
      </c>
      <c r="J242" s="81">
        <v>8.7016125E7</v>
      </c>
      <c r="K242" s="93">
        <v>1400000.0</v>
      </c>
      <c r="L242" s="94">
        <v>45742.0</v>
      </c>
      <c r="M242" s="95"/>
    </row>
    <row r="243">
      <c r="A243" s="100"/>
      <c r="B243" s="100"/>
      <c r="C243" s="100"/>
      <c r="D243" s="100"/>
      <c r="E243" s="100"/>
      <c r="F243" s="100"/>
      <c r="G243" s="100"/>
      <c r="H243" s="100"/>
      <c r="I243" s="100"/>
      <c r="J243" s="100"/>
      <c r="K243" s="100"/>
      <c r="L243" s="100"/>
      <c r="M243" s="100"/>
    </row>
    <row r="244">
      <c r="A244" s="100"/>
      <c r="B244" s="100"/>
      <c r="C244" s="100"/>
      <c r="D244" s="100"/>
      <c r="E244" s="100"/>
      <c r="F244" s="100"/>
      <c r="G244" s="100"/>
      <c r="H244" s="100"/>
      <c r="I244" s="100"/>
      <c r="J244" s="100"/>
      <c r="K244" s="100"/>
      <c r="L244" s="100"/>
      <c r="M244" s="100"/>
    </row>
    <row r="245">
      <c r="A245" s="100"/>
      <c r="B245" s="100"/>
      <c r="C245" s="100"/>
      <c r="D245" s="100"/>
      <c r="E245" s="100"/>
      <c r="F245" s="100"/>
      <c r="G245" s="100"/>
      <c r="H245" s="100"/>
      <c r="I245" s="100"/>
      <c r="J245" s="100"/>
      <c r="K245" s="100"/>
      <c r="L245" s="100"/>
      <c r="M245" s="100"/>
    </row>
    <row r="246">
      <c r="A246" s="100"/>
      <c r="B246" s="100"/>
      <c r="C246" s="100"/>
      <c r="D246" s="100"/>
      <c r="E246" s="100"/>
      <c r="F246" s="100"/>
      <c r="G246" s="100"/>
      <c r="H246" s="100"/>
      <c r="I246" s="100"/>
      <c r="J246" s="100"/>
      <c r="K246" s="100"/>
      <c r="L246" s="100"/>
      <c r="M246" s="100"/>
    </row>
    <row r="247">
      <c r="A247" s="100"/>
      <c r="B247" s="100"/>
      <c r="C247" s="100"/>
      <c r="D247" s="100"/>
      <c r="E247" s="100"/>
      <c r="F247" s="100"/>
      <c r="G247" s="100"/>
      <c r="H247" s="100"/>
      <c r="I247" s="100"/>
      <c r="J247" s="100"/>
      <c r="K247" s="100"/>
      <c r="L247" s="100"/>
      <c r="M247" s="100"/>
    </row>
    <row r="248">
      <c r="A248" s="100"/>
      <c r="B248" s="100"/>
      <c r="C248" s="100"/>
      <c r="D248" s="100"/>
      <c r="E248" s="100"/>
      <c r="F248" s="100"/>
      <c r="G248" s="100"/>
      <c r="H248" s="100"/>
      <c r="I248" s="100"/>
      <c r="J248" s="100"/>
      <c r="K248" s="100"/>
      <c r="L248" s="100"/>
      <c r="M248" s="100"/>
    </row>
    <row r="249">
      <c r="A249" s="100"/>
      <c r="B249" s="100"/>
      <c r="C249" s="100"/>
      <c r="D249" s="100"/>
      <c r="E249" s="100"/>
      <c r="F249" s="100"/>
      <c r="G249" s="100"/>
      <c r="H249" s="100"/>
      <c r="I249" s="100"/>
      <c r="J249" s="100"/>
      <c r="K249" s="100"/>
      <c r="L249" s="100"/>
      <c r="M249" s="100"/>
    </row>
    <row r="250">
      <c r="A250" s="100"/>
      <c r="B250" s="100"/>
      <c r="C250" s="100"/>
      <c r="D250" s="100"/>
      <c r="E250" s="100"/>
      <c r="F250" s="100"/>
      <c r="G250" s="100"/>
      <c r="H250" s="100"/>
      <c r="I250" s="100"/>
      <c r="J250" s="100"/>
      <c r="K250" s="100"/>
      <c r="L250" s="100"/>
      <c r="M250" s="100"/>
    </row>
    <row r="251">
      <c r="A251" s="100"/>
      <c r="B251" s="100"/>
      <c r="C251" s="100"/>
      <c r="D251" s="100"/>
      <c r="E251" s="100"/>
      <c r="F251" s="100"/>
      <c r="G251" s="100"/>
      <c r="H251" s="100"/>
      <c r="I251" s="100"/>
      <c r="J251" s="100"/>
      <c r="K251" s="100"/>
      <c r="L251" s="100"/>
      <c r="M251" s="100"/>
    </row>
    <row r="252">
      <c r="A252" s="100"/>
      <c r="B252" s="100"/>
      <c r="C252" s="100"/>
      <c r="D252" s="100"/>
      <c r="E252" s="100"/>
      <c r="F252" s="100"/>
      <c r="G252" s="100"/>
      <c r="H252" s="100"/>
      <c r="I252" s="100"/>
      <c r="J252" s="100"/>
      <c r="K252" s="100"/>
      <c r="L252" s="100"/>
      <c r="M252" s="100"/>
    </row>
    <row r="253">
      <c r="A253" s="100"/>
      <c r="B253" s="100"/>
      <c r="C253" s="100"/>
      <c r="D253" s="100"/>
      <c r="E253" s="100"/>
      <c r="F253" s="100"/>
      <c r="G253" s="100"/>
      <c r="H253" s="100"/>
      <c r="I253" s="100"/>
      <c r="J253" s="100"/>
      <c r="K253" s="100"/>
      <c r="L253" s="100"/>
      <c r="M253" s="100"/>
    </row>
    <row r="254">
      <c r="A254" s="100"/>
      <c r="B254" s="100"/>
      <c r="C254" s="100"/>
      <c r="D254" s="100"/>
      <c r="E254" s="100"/>
      <c r="F254" s="100"/>
      <c r="G254" s="100"/>
      <c r="H254" s="100"/>
      <c r="I254" s="100"/>
      <c r="J254" s="100"/>
      <c r="K254" s="100"/>
      <c r="L254" s="100"/>
      <c r="M254" s="100"/>
    </row>
    <row r="255">
      <c r="A255" s="100"/>
      <c r="B255" s="100"/>
      <c r="C255" s="100"/>
      <c r="D255" s="100"/>
      <c r="E255" s="100"/>
      <c r="F255" s="100"/>
      <c r="G255" s="100"/>
      <c r="H255" s="100"/>
      <c r="I255" s="100"/>
      <c r="J255" s="100"/>
      <c r="K255" s="100"/>
      <c r="L255" s="100"/>
      <c r="M255" s="100"/>
    </row>
    <row r="256">
      <c r="A256" s="100"/>
      <c r="B256" s="100"/>
      <c r="C256" s="101">
        <v>655.0</v>
      </c>
      <c r="D256" s="100"/>
      <c r="E256" s="100"/>
      <c r="F256" s="100"/>
      <c r="G256" s="100"/>
      <c r="H256" s="100"/>
      <c r="I256" s="100"/>
      <c r="J256" s="100"/>
      <c r="K256" s="100"/>
      <c r="L256" s="100"/>
      <c r="M256" s="100"/>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02" t="s">
        <v>1</v>
      </c>
      <c r="B1" s="103" t="s">
        <v>3904</v>
      </c>
      <c r="C1" s="103" t="s">
        <v>3905</v>
      </c>
      <c r="D1" s="103" t="s">
        <v>4189</v>
      </c>
      <c r="E1" s="103" t="s">
        <v>3907</v>
      </c>
      <c r="F1" s="103" t="s">
        <v>3909</v>
      </c>
      <c r="G1" s="103" t="s">
        <v>3910</v>
      </c>
      <c r="H1" s="103" t="s">
        <v>3911</v>
      </c>
      <c r="I1" s="103" t="s">
        <v>4191</v>
      </c>
      <c r="J1" s="103" t="s">
        <v>3912</v>
      </c>
      <c r="K1" s="103" t="s">
        <v>4192</v>
      </c>
      <c r="L1" s="103" t="s">
        <v>3913</v>
      </c>
    </row>
    <row r="2">
      <c r="A2" s="77">
        <v>378.0</v>
      </c>
      <c r="B2" s="78" t="s">
        <v>4620</v>
      </c>
      <c r="C2" s="79">
        <v>2.0251110020343E13</v>
      </c>
      <c r="D2" s="78" t="s">
        <v>4621</v>
      </c>
      <c r="E2" s="78" t="s">
        <v>4622</v>
      </c>
      <c r="F2" s="81" t="s">
        <v>4127</v>
      </c>
      <c r="G2" s="98">
        <v>9.0011939E8</v>
      </c>
      <c r="H2" s="78" t="s">
        <v>4623</v>
      </c>
      <c r="I2" s="92" t="s">
        <v>524</v>
      </c>
      <c r="J2" s="81">
        <v>9.5265325E7</v>
      </c>
      <c r="K2" s="93">
        <v>4914700.0</v>
      </c>
      <c r="L2" s="94">
        <v>45748.0</v>
      </c>
    </row>
    <row r="3">
      <c r="A3" s="77">
        <v>379.0</v>
      </c>
      <c r="B3" s="78" t="s">
        <v>4620</v>
      </c>
      <c r="C3" s="79">
        <v>2.0251300020523E13</v>
      </c>
      <c r="D3" s="78" t="s">
        <v>4624</v>
      </c>
      <c r="E3" s="78" t="s">
        <v>4178</v>
      </c>
      <c r="F3" s="81" t="s">
        <v>4127</v>
      </c>
      <c r="G3" s="82">
        <v>8.99999115E8</v>
      </c>
      <c r="H3" s="78" t="s">
        <v>4625</v>
      </c>
      <c r="I3" s="92" t="s">
        <v>4358</v>
      </c>
      <c r="J3" s="81">
        <v>1.11722825E8</v>
      </c>
      <c r="K3" s="93">
        <v>1463212.16</v>
      </c>
      <c r="L3" s="94">
        <v>45758.0</v>
      </c>
    </row>
    <row r="4">
      <c r="A4" s="77">
        <v>380.0</v>
      </c>
      <c r="B4" s="78" t="s">
        <v>4620</v>
      </c>
      <c r="C4" s="79">
        <v>2.0251010020563E13</v>
      </c>
      <c r="D4" s="78" t="s">
        <v>4626</v>
      </c>
      <c r="E4" s="78" t="s">
        <v>822</v>
      </c>
      <c r="F4" s="81" t="s">
        <v>3917</v>
      </c>
      <c r="G4" s="82">
        <v>1.193406964E9</v>
      </c>
      <c r="H4" s="78" t="s">
        <v>4238</v>
      </c>
      <c r="I4" s="92" t="s">
        <v>922</v>
      </c>
      <c r="J4" s="81">
        <v>9.7555525E7</v>
      </c>
      <c r="K4" s="93">
        <v>3794700.0</v>
      </c>
      <c r="L4" s="94">
        <v>45749.0</v>
      </c>
    </row>
    <row r="5">
      <c r="A5" s="77">
        <v>381.0</v>
      </c>
      <c r="B5" s="78" t="s">
        <v>4620</v>
      </c>
      <c r="C5" s="79">
        <v>2.0251900020593E13</v>
      </c>
      <c r="D5" s="78" t="s">
        <v>4627</v>
      </c>
      <c r="E5" s="78" t="s">
        <v>429</v>
      </c>
      <c r="F5" s="81" t="s">
        <v>3917</v>
      </c>
      <c r="G5" s="82">
        <v>1.065837239E9</v>
      </c>
      <c r="H5" s="78" t="s">
        <v>3924</v>
      </c>
      <c r="I5" s="92" t="s">
        <v>433</v>
      </c>
      <c r="J5" s="81">
        <v>9.7535025E7</v>
      </c>
      <c r="K5" s="93">
        <v>6500000.0</v>
      </c>
      <c r="L5" s="94">
        <v>45749.0</v>
      </c>
    </row>
    <row r="6">
      <c r="A6" s="77">
        <v>382.0</v>
      </c>
      <c r="B6" s="78" t="s">
        <v>4620</v>
      </c>
      <c r="C6" s="79">
        <v>2.0251900020653E13</v>
      </c>
      <c r="D6" s="78" t="s">
        <v>4628</v>
      </c>
      <c r="E6" s="78" t="s">
        <v>4242</v>
      </c>
      <c r="F6" s="81" t="s">
        <v>3917</v>
      </c>
      <c r="G6" s="82">
        <v>1.015471886E9</v>
      </c>
      <c r="H6" s="78" t="s">
        <v>4243</v>
      </c>
      <c r="I6" s="92" t="s">
        <v>433</v>
      </c>
      <c r="J6" s="81">
        <v>9.7677125E7</v>
      </c>
      <c r="K6" s="93">
        <v>3630000.0</v>
      </c>
      <c r="L6" s="94">
        <v>45749.0</v>
      </c>
    </row>
    <row r="7">
      <c r="A7" s="77">
        <v>383.0</v>
      </c>
      <c r="B7" s="78" t="s">
        <v>4620</v>
      </c>
      <c r="C7" s="79">
        <v>2.0251530020923E13</v>
      </c>
      <c r="D7" s="78" t="s">
        <v>4629</v>
      </c>
      <c r="E7" s="78" t="s">
        <v>849</v>
      </c>
      <c r="F7" s="81" t="s">
        <v>3917</v>
      </c>
      <c r="G7" s="82">
        <v>1.033736378E9</v>
      </c>
      <c r="H7" s="78" t="s">
        <v>4215</v>
      </c>
      <c r="I7" s="92" t="s">
        <v>4203</v>
      </c>
      <c r="J7" s="81">
        <v>9.7483125E7</v>
      </c>
      <c r="K7" s="93">
        <v>7866500.0</v>
      </c>
      <c r="L7" s="94">
        <v>45749.0</v>
      </c>
    </row>
    <row r="8">
      <c r="A8" s="77">
        <v>384.0</v>
      </c>
      <c r="B8" s="78" t="s">
        <v>4620</v>
      </c>
      <c r="C8" s="79">
        <v>2.0251400020933E13</v>
      </c>
      <c r="D8" s="78" t="s">
        <v>4630</v>
      </c>
      <c r="E8" s="78" t="s">
        <v>276</v>
      </c>
      <c r="F8" s="81" t="s">
        <v>3917</v>
      </c>
      <c r="G8" s="82">
        <v>367422.0</v>
      </c>
      <c r="H8" s="78" t="s">
        <v>3945</v>
      </c>
      <c r="I8" s="92" t="s">
        <v>112</v>
      </c>
      <c r="J8" s="81">
        <v>9.7489625E7</v>
      </c>
      <c r="K8" s="93">
        <v>7067762.0</v>
      </c>
      <c r="L8" s="94">
        <v>45749.0</v>
      </c>
    </row>
    <row r="9">
      <c r="A9" s="77">
        <v>385.0</v>
      </c>
      <c r="B9" s="78" t="s">
        <v>4620</v>
      </c>
      <c r="C9" s="79">
        <v>2.0251400020943E13</v>
      </c>
      <c r="D9" s="78" t="s">
        <v>4631</v>
      </c>
      <c r="E9" s="78" t="s">
        <v>107</v>
      </c>
      <c r="F9" s="81" t="s">
        <v>3917</v>
      </c>
      <c r="G9" s="82">
        <v>1.032409297E9</v>
      </c>
      <c r="H9" s="78" t="s">
        <v>3934</v>
      </c>
      <c r="I9" s="92" t="s">
        <v>112</v>
      </c>
      <c r="J9" s="81">
        <v>9.7505825E7</v>
      </c>
      <c r="K9" s="93">
        <v>9000000.0</v>
      </c>
      <c r="L9" s="94">
        <v>45749.0</v>
      </c>
    </row>
    <row r="10">
      <c r="A10" s="77">
        <v>386.0</v>
      </c>
      <c r="B10" s="78" t="s">
        <v>4620</v>
      </c>
      <c r="C10" s="79">
        <v>2.0251400020953E13</v>
      </c>
      <c r="D10" s="78" t="s">
        <v>4632</v>
      </c>
      <c r="E10" s="78" t="s">
        <v>1118</v>
      </c>
      <c r="F10" s="81" t="s">
        <v>3917</v>
      </c>
      <c r="G10" s="82">
        <v>1.073519307E9</v>
      </c>
      <c r="H10" s="78" t="s">
        <v>4260</v>
      </c>
      <c r="I10" s="92" t="s">
        <v>112</v>
      </c>
      <c r="J10" s="81">
        <v>9.7500025E7</v>
      </c>
      <c r="K10" s="93">
        <v>4374300.0</v>
      </c>
      <c r="L10" s="94">
        <v>45749.0</v>
      </c>
    </row>
    <row r="11">
      <c r="A11" s="77">
        <v>387.0</v>
      </c>
      <c r="B11" s="78" t="s">
        <v>4620</v>
      </c>
      <c r="C11" s="79">
        <v>2.0251010020963E13</v>
      </c>
      <c r="D11" s="78" t="s">
        <v>4633</v>
      </c>
      <c r="E11" s="78" t="s">
        <v>423</v>
      </c>
      <c r="F11" s="81" t="s">
        <v>3917</v>
      </c>
      <c r="G11" s="82">
        <v>1.020786621E9</v>
      </c>
      <c r="H11" s="78" t="s">
        <v>3928</v>
      </c>
      <c r="I11" s="92" t="s">
        <v>428</v>
      </c>
      <c r="J11" s="81">
        <v>9.7532825E7</v>
      </c>
      <c r="K11" s="93">
        <v>8000000.0</v>
      </c>
      <c r="L11" s="94">
        <v>45749.0</v>
      </c>
    </row>
    <row r="12">
      <c r="A12" s="77">
        <v>388.0</v>
      </c>
      <c r="B12" s="78" t="s">
        <v>4620</v>
      </c>
      <c r="C12" s="79">
        <v>2.0251000020973E13</v>
      </c>
      <c r="D12" s="78" t="s">
        <v>4634</v>
      </c>
      <c r="E12" s="78" t="s">
        <v>480</v>
      </c>
      <c r="F12" s="81" t="s">
        <v>3917</v>
      </c>
      <c r="G12" s="82">
        <v>5.2811892E7</v>
      </c>
      <c r="H12" s="78" t="s">
        <v>3959</v>
      </c>
      <c r="I12" s="92" t="s">
        <v>474</v>
      </c>
      <c r="J12" s="81" t="s">
        <v>4635</v>
      </c>
      <c r="K12" s="93">
        <v>8500000.0</v>
      </c>
      <c r="L12" s="94">
        <v>45758.0</v>
      </c>
    </row>
    <row r="13">
      <c r="A13" s="77">
        <v>389.0</v>
      </c>
      <c r="B13" s="78" t="s">
        <v>4620</v>
      </c>
      <c r="C13" s="79">
        <v>2.0251900020983E13</v>
      </c>
      <c r="D13" s="78" t="s">
        <v>4636</v>
      </c>
      <c r="E13" s="78" t="s">
        <v>1068</v>
      </c>
      <c r="F13" s="81" t="s">
        <v>3917</v>
      </c>
      <c r="G13" s="82">
        <v>1.032484145E9</v>
      </c>
      <c r="H13" s="78" t="s">
        <v>4211</v>
      </c>
      <c r="I13" s="92" t="s">
        <v>1207</v>
      </c>
      <c r="J13" s="81">
        <v>9.7785725E7</v>
      </c>
      <c r="K13" s="93">
        <v>6500000.0</v>
      </c>
      <c r="L13" s="94">
        <v>45749.0</v>
      </c>
    </row>
    <row r="14">
      <c r="A14" s="77">
        <v>390.0</v>
      </c>
      <c r="B14" s="78" t="s">
        <v>4620</v>
      </c>
      <c r="C14" s="79">
        <v>2.0251010020993E13</v>
      </c>
      <c r="D14" s="78" t="s">
        <v>4637</v>
      </c>
      <c r="E14" s="78" t="s">
        <v>123</v>
      </c>
      <c r="F14" s="81" t="s">
        <v>3917</v>
      </c>
      <c r="G14" s="82">
        <v>1.013653433E9</v>
      </c>
      <c r="H14" s="78" t="s">
        <v>3957</v>
      </c>
      <c r="I14" s="92" t="s">
        <v>922</v>
      </c>
      <c r="J14" s="81">
        <v>1.04502925E8</v>
      </c>
      <c r="K14" s="93">
        <v>9500000.0</v>
      </c>
      <c r="L14" s="94">
        <v>45755.0</v>
      </c>
    </row>
    <row r="15">
      <c r="A15" s="77">
        <v>391.0</v>
      </c>
      <c r="B15" s="78" t="s">
        <v>4620</v>
      </c>
      <c r="C15" s="79">
        <v>2.0251530021003E13</v>
      </c>
      <c r="D15" s="78" t="s">
        <v>4638</v>
      </c>
      <c r="E15" s="78" t="s">
        <v>799</v>
      </c>
      <c r="F15" s="81" t="s">
        <v>3917</v>
      </c>
      <c r="G15" s="82">
        <v>1.026271385E9</v>
      </c>
      <c r="H15" s="78" t="s">
        <v>4202</v>
      </c>
      <c r="I15" s="92" t="s">
        <v>4203</v>
      </c>
      <c r="J15" s="81">
        <v>9.7656425E7</v>
      </c>
      <c r="K15" s="93">
        <v>7866500.0</v>
      </c>
      <c r="L15" s="94">
        <v>45749.0</v>
      </c>
    </row>
    <row r="16">
      <c r="A16" s="77">
        <v>392.0</v>
      </c>
      <c r="B16" s="78" t="s">
        <v>4620</v>
      </c>
      <c r="C16" s="79">
        <v>2.0251900021023E13</v>
      </c>
      <c r="D16" s="78" t="s">
        <v>4639</v>
      </c>
      <c r="E16" s="78" t="s">
        <v>2791</v>
      </c>
      <c r="F16" s="81" t="s">
        <v>3917</v>
      </c>
      <c r="G16" s="82">
        <v>1.096217701E9</v>
      </c>
      <c r="H16" s="78" t="s">
        <v>4122</v>
      </c>
      <c r="I16" s="92" t="s">
        <v>433</v>
      </c>
      <c r="J16" s="81">
        <v>9.7530825E7</v>
      </c>
      <c r="K16" s="93">
        <v>4500000.0</v>
      </c>
      <c r="L16" s="94">
        <v>45749.0</v>
      </c>
    </row>
    <row r="17">
      <c r="A17" s="77">
        <v>393.0</v>
      </c>
      <c r="B17" s="78" t="s">
        <v>4620</v>
      </c>
      <c r="C17" s="79">
        <v>2.0251800021033E13</v>
      </c>
      <c r="D17" s="78" t="s">
        <v>4640</v>
      </c>
      <c r="E17" s="78" t="s">
        <v>476</v>
      </c>
      <c r="F17" s="81" t="s">
        <v>3917</v>
      </c>
      <c r="G17" s="82">
        <v>9528037.0</v>
      </c>
      <c r="H17" s="78" t="s">
        <v>3951</v>
      </c>
      <c r="I17" s="92" t="s">
        <v>468</v>
      </c>
      <c r="J17" s="81">
        <v>9.7547925E7</v>
      </c>
      <c r="K17" s="93">
        <v>7016000.0</v>
      </c>
      <c r="L17" s="94">
        <v>45749.0</v>
      </c>
    </row>
    <row r="18">
      <c r="A18" s="77">
        <v>394.0</v>
      </c>
      <c r="B18" s="78" t="s">
        <v>4620</v>
      </c>
      <c r="C18" s="79">
        <v>2.0251400021073E13</v>
      </c>
      <c r="D18" s="78" t="s">
        <v>4641</v>
      </c>
      <c r="E18" s="78" t="s">
        <v>1114</v>
      </c>
      <c r="F18" s="81" t="s">
        <v>3917</v>
      </c>
      <c r="G18" s="82">
        <v>8.0012143E7</v>
      </c>
      <c r="H18" s="78" t="s">
        <v>4225</v>
      </c>
      <c r="I18" s="92" t="s">
        <v>666</v>
      </c>
      <c r="J18" s="81">
        <v>9.7770925E7</v>
      </c>
      <c r="K18" s="93">
        <v>1.0E7</v>
      </c>
      <c r="L18" s="94">
        <v>45749.0</v>
      </c>
    </row>
    <row r="19">
      <c r="A19" s="77">
        <v>395.0</v>
      </c>
      <c r="B19" s="78" t="s">
        <v>4620</v>
      </c>
      <c r="C19" s="79">
        <v>2.0251800021093E13</v>
      </c>
      <c r="D19" s="78" t="s">
        <v>4642</v>
      </c>
      <c r="E19" s="78" t="s">
        <v>464</v>
      </c>
      <c r="F19" s="81" t="s">
        <v>3917</v>
      </c>
      <c r="G19" s="82">
        <v>1.015445697E9</v>
      </c>
      <c r="H19" s="78" t="s">
        <v>3971</v>
      </c>
      <c r="I19" s="92" t="s">
        <v>468</v>
      </c>
      <c r="J19" s="81">
        <v>9.7764125E7</v>
      </c>
      <c r="K19" s="93">
        <v>5930000.0</v>
      </c>
      <c r="L19" s="94">
        <v>45749.0</v>
      </c>
    </row>
    <row r="20">
      <c r="A20" s="77">
        <v>396.0</v>
      </c>
      <c r="B20" s="78" t="s">
        <v>4620</v>
      </c>
      <c r="C20" s="79">
        <v>2.0251500021103E13</v>
      </c>
      <c r="D20" s="78" t="s">
        <v>4643</v>
      </c>
      <c r="E20" s="78" t="s">
        <v>766</v>
      </c>
      <c r="F20" s="81" t="s">
        <v>3917</v>
      </c>
      <c r="G20" s="82">
        <v>1.078371849E9</v>
      </c>
      <c r="H20" s="78" t="s">
        <v>4335</v>
      </c>
      <c r="I20" s="92" t="s">
        <v>4336</v>
      </c>
      <c r="J20" s="81">
        <v>9.7766825E7</v>
      </c>
      <c r="K20" s="93">
        <v>3758500.0</v>
      </c>
      <c r="L20" s="94">
        <v>45749.0</v>
      </c>
    </row>
    <row r="21">
      <c r="A21" s="77">
        <v>397.0</v>
      </c>
      <c r="B21" s="78" t="s">
        <v>4620</v>
      </c>
      <c r="C21" s="79">
        <v>2.0251020021123E13</v>
      </c>
      <c r="D21" s="78" t="s">
        <v>4644</v>
      </c>
      <c r="E21" s="78" t="s">
        <v>2619</v>
      </c>
      <c r="F21" s="81" t="s">
        <v>3917</v>
      </c>
      <c r="G21" s="82">
        <v>5.2734728E7</v>
      </c>
      <c r="H21" s="78" t="s">
        <v>4100</v>
      </c>
      <c r="I21" s="92" t="s">
        <v>4319</v>
      </c>
      <c r="J21" s="81">
        <v>9.7666625E7</v>
      </c>
      <c r="K21" s="93">
        <v>3299450.0</v>
      </c>
      <c r="L21" s="94">
        <v>45749.0</v>
      </c>
    </row>
    <row r="22">
      <c r="A22" s="77">
        <v>398.0</v>
      </c>
      <c r="B22" s="78" t="s">
        <v>4620</v>
      </c>
      <c r="C22" s="79">
        <v>2.0251900021133E13</v>
      </c>
      <c r="D22" s="78" t="s">
        <v>4645</v>
      </c>
      <c r="E22" s="78" t="s">
        <v>218</v>
      </c>
      <c r="F22" s="81" t="s">
        <v>3917</v>
      </c>
      <c r="G22" s="82">
        <v>1.130601351E9</v>
      </c>
      <c r="H22" s="78" t="s">
        <v>3920</v>
      </c>
      <c r="I22" s="92" t="s">
        <v>571</v>
      </c>
      <c r="J22" s="81">
        <v>9.7765425E7</v>
      </c>
      <c r="K22" s="93">
        <v>8000000.0</v>
      </c>
      <c r="L22" s="94">
        <v>45749.0</v>
      </c>
    </row>
    <row r="23">
      <c r="A23" s="77">
        <v>399.0</v>
      </c>
      <c r="B23" s="78" t="s">
        <v>4620</v>
      </c>
      <c r="C23" s="79">
        <v>2.0251800021143E13</v>
      </c>
      <c r="D23" s="78" t="s">
        <v>4646</v>
      </c>
      <c r="E23" s="78" t="s">
        <v>401</v>
      </c>
      <c r="F23" s="81" t="s">
        <v>3917</v>
      </c>
      <c r="G23" s="82">
        <v>1.090383442E9</v>
      </c>
      <c r="H23" s="78" t="s">
        <v>3918</v>
      </c>
      <c r="I23" s="92" t="s">
        <v>405</v>
      </c>
      <c r="J23" s="81">
        <v>1.00230025E8</v>
      </c>
      <c r="K23" s="93">
        <v>5473000.0</v>
      </c>
      <c r="L23" s="94">
        <v>45750.0</v>
      </c>
    </row>
    <row r="24">
      <c r="A24" s="77">
        <v>400.0</v>
      </c>
      <c r="B24" s="78" t="s">
        <v>4620</v>
      </c>
      <c r="C24" s="79">
        <v>2.0251800021153E13</v>
      </c>
      <c r="D24" s="78" t="s">
        <v>4647</v>
      </c>
      <c r="E24" s="78" t="s">
        <v>2846</v>
      </c>
      <c r="F24" s="81" t="s">
        <v>3917</v>
      </c>
      <c r="G24" s="82">
        <v>4.2145409E7</v>
      </c>
      <c r="H24" s="78" t="s">
        <v>4056</v>
      </c>
      <c r="I24" s="92" t="s">
        <v>405</v>
      </c>
      <c r="J24" s="81">
        <v>1.01133425E8</v>
      </c>
      <c r="K24" s="93">
        <v>5473000.0</v>
      </c>
      <c r="L24" s="94">
        <v>45751.0</v>
      </c>
    </row>
    <row r="25">
      <c r="A25" s="77">
        <v>401.0</v>
      </c>
      <c r="B25" s="78" t="s">
        <v>4620</v>
      </c>
      <c r="C25" s="79">
        <v>2.0251020021173E13</v>
      </c>
      <c r="D25" s="78" t="s">
        <v>4648</v>
      </c>
      <c r="E25" s="78" t="s">
        <v>1017</v>
      </c>
      <c r="F25" s="81" t="s">
        <v>3917</v>
      </c>
      <c r="G25" s="82">
        <v>1.01023574E9</v>
      </c>
      <c r="H25" s="78" t="s">
        <v>4491</v>
      </c>
      <c r="I25" s="92" t="s">
        <v>4319</v>
      </c>
      <c r="J25" s="81">
        <v>9.7849125E7</v>
      </c>
      <c r="K25" s="93">
        <v>3300000.0</v>
      </c>
      <c r="L25" s="94">
        <v>45749.0</v>
      </c>
    </row>
    <row r="26">
      <c r="A26" s="77">
        <v>402.0</v>
      </c>
      <c r="B26" s="78" t="s">
        <v>4620</v>
      </c>
      <c r="C26" s="79">
        <v>2.0251020021223E13</v>
      </c>
      <c r="D26" s="78" t="s">
        <v>4649</v>
      </c>
      <c r="E26" s="78" t="s">
        <v>4347</v>
      </c>
      <c r="F26" s="81" t="s">
        <v>3917</v>
      </c>
      <c r="G26" s="82">
        <v>1.110461441E9</v>
      </c>
      <c r="H26" s="78" t="s">
        <v>4348</v>
      </c>
      <c r="I26" s="92" t="s">
        <v>4319</v>
      </c>
      <c r="J26" s="81">
        <v>1.00157225E8</v>
      </c>
      <c r="K26" s="93">
        <v>8274000.0</v>
      </c>
      <c r="L26" s="94">
        <v>45750.0</v>
      </c>
    </row>
    <row r="27">
      <c r="A27" s="77">
        <v>403.0</v>
      </c>
      <c r="B27" s="78" t="s">
        <v>4620</v>
      </c>
      <c r="C27" s="104">
        <v>2.0251000021243E13</v>
      </c>
      <c r="D27" s="78" t="s">
        <v>4650</v>
      </c>
      <c r="E27" s="78" t="s">
        <v>101</v>
      </c>
      <c r="F27" s="81" t="s">
        <v>3917</v>
      </c>
      <c r="G27" s="82">
        <v>1.016013668E9</v>
      </c>
      <c r="H27" s="78" t="s">
        <v>4071</v>
      </c>
      <c r="I27" s="92" t="s">
        <v>2663</v>
      </c>
      <c r="J27" s="81">
        <v>1.01122825E8</v>
      </c>
      <c r="K27" s="93">
        <v>7500000.0</v>
      </c>
      <c r="L27" s="94">
        <v>45751.0</v>
      </c>
    </row>
    <row r="28">
      <c r="A28" s="77">
        <v>404.0</v>
      </c>
      <c r="B28" s="78" t="s">
        <v>4620</v>
      </c>
      <c r="C28" s="79">
        <v>2.0251120021203E13</v>
      </c>
      <c r="D28" s="78" t="s">
        <v>4651</v>
      </c>
      <c r="E28" s="78" t="s">
        <v>745</v>
      </c>
      <c r="F28" s="81" t="s">
        <v>3917</v>
      </c>
      <c r="G28" s="82">
        <v>1.003586805E9</v>
      </c>
      <c r="H28" s="78" t="s">
        <v>4197</v>
      </c>
      <c r="I28" s="92" t="s">
        <v>847</v>
      </c>
      <c r="J28" s="81">
        <v>1.04505425E8</v>
      </c>
      <c r="K28" s="93">
        <v>3285450.0</v>
      </c>
      <c r="L28" s="94">
        <v>45755.0</v>
      </c>
    </row>
    <row r="29">
      <c r="A29" s="77">
        <v>405.0</v>
      </c>
      <c r="B29" s="78" t="s">
        <v>4620</v>
      </c>
      <c r="C29" s="79">
        <v>2.0251110021043E13</v>
      </c>
      <c r="D29" s="78" t="s">
        <v>4652</v>
      </c>
      <c r="E29" s="78" t="s">
        <v>79</v>
      </c>
      <c r="F29" s="81" t="s">
        <v>4127</v>
      </c>
      <c r="G29" s="98">
        <v>8.11009788E8</v>
      </c>
      <c r="H29" s="78" t="s">
        <v>4166</v>
      </c>
      <c r="I29" s="92" t="s">
        <v>146</v>
      </c>
      <c r="J29" s="81">
        <v>1.01151925E8</v>
      </c>
      <c r="K29" s="93">
        <v>294015.02</v>
      </c>
      <c r="L29" s="94">
        <v>45751.0</v>
      </c>
    </row>
    <row r="30">
      <c r="A30" s="77">
        <v>406.0</v>
      </c>
      <c r="B30" s="78" t="s">
        <v>4620</v>
      </c>
      <c r="C30" s="79">
        <v>2.0251100021183E13</v>
      </c>
      <c r="D30" s="78" t="s">
        <v>4653</v>
      </c>
      <c r="E30" s="78" t="s">
        <v>280</v>
      </c>
      <c r="F30" s="81" t="s">
        <v>3944</v>
      </c>
      <c r="G30" s="82">
        <v>202634.0</v>
      </c>
      <c r="H30" s="78" t="s">
        <v>3993</v>
      </c>
      <c r="I30" s="92" t="s">
        <v>2039</v>
      </c>
      <c r="J30" s="81">
        <v>9.7811325E7</v>
      </c>
      <c r="K30" s="93">
        <v>7000000.0</v>
      </c>
      <c r="L30" s="94">
        <v>45749.0</v>
      </c>
    </row>
    <row r="31">
      <c r="A31" s="77">
        <v>407.0</v>
      </c>
      <c r="B31" s="78" t="s">
        <v>4620</v>
      </c>
      <c r="C31" s="79">
        <v>2.0251530021193E13</v>
      </c>
      <c r="D31" s="78" t="s">
        <v>4654</v>
      </c>
      <c r="E31" s="78" t="s">
        <v>886</v>
      </c>
      <c r="F31" s="81" t="s">
        <v>3917</v>
      </c>
      <c r="G31" s="82">
        <v>1.049640327E9</v>
      </c>
      <c r="H31" s="78" t="s">
        <v>4235</v>
      </c>
      <c r="I31" s="92" t="s">
        <v>4655</v>
      </c>
      <c r="J31" s="81">
        <v>9.7777925E7</v>
      </c>
      <c r="K31" s="93">
        <v>6346000.0</v>
      </c>
      <c r="L31" s="94">
        <v>45749.0</v>
      </c>
    </row>
    <row r="32">
      <c r="A32" s="77">
        <v>408.0</v>
      </c>
      <c r="B32" s="78" t="s">
        <v>4620</v>
      </c>
      <c r="C32" s="104">
        <v>2.0251300021083E13</v>
      </c>
      <c r="D32" s="78" t="s">
        <v>4656</v>
      </c>
      <c r="E32" s="95" t="s">
        <v>4622</v>
      </c>
      <c r="F32" s="77" t="s">
        <v>3917</v>
      </c>
      <c r="G32" s="82">
        <v>1.010244152E9</v>
      </c>
      <c r="H32" s="78" t="s">
        <v>4006</v>
      </c>
      <c r="I32" s="92" t="s">
        <v>133</v>
      </c>
      <c r="J32" s="81">
        <v>1.01495125E8</v>
      </c>
      <c r="K32" s="93">
        <v>7280000.0</v>
      </c>
      <c r="L32" s="94">
        <v>45751.0</v>
      </c>
    </row>
    <row r="33">
      <c r="A33" s="77">
        <v>409.0</v>
      </c>
      <c r="B33" s="78" t="s">
        <v>4620</v>
      </c>
      <c r="C33" s="79">
        <v>2.0251500021213E13</v>
      </c>
      <c r="D33" s="78" t="s">
        <v>4657</v>
      </c>
      <c r="E33" s="105" t="s">
        <v>342</v>
      </c>
      <c r="F33" s="81" t="s">
        <v>3917</v>
      </c>
      <c r="G33" s="82">
        <v>1.143855242E9</v>
      </c>
      <c r="H33" s="78" t="s">
        <v>4004</v>
      </c>
      <c r="I33" s="92" t="s">
        <v>346</v>
      </c>
      <c r="J33" s="81">
        <v>1.00149325E8</v>
      </c>
      <c r="K33" s="93">
        <v>4332600.0</v>
      </c>
      <c r="L33" s="94">
        <v>45750.0</v>
      </c>
    </row>
    <row r="34">
      <c r="A34" s="77">
        <v>410.0</v>
      </c>
      <c r="B34" s="78" t="s">
        <v>4620</v>
      </c>
      <c r="C34" s="79">
        <v>2.0251140021233E13</v>
      </c>
      <c r="D34" s="78" t="s">
        <v>4658</v>
      </c>
      <c r="E34" s="78" t="s">
        <v>63</v>
      </c>
      <c r="F34" s="81" t="s">
        <v>3917</v>
      </c>
      <c r="G34" s="82">
        <v>1.019094411E9</v>
      </c>
      <c r="H34" s="78" t="s">
        <v>3932</v>
      </c>
      <c r="I34" s="92" t="s">
        <v>4659</v>
      </c>
      <c r="J34" s="81">
        <v>1.00161025E8</v>
      </c>
      <c r="K34" s="93">
        <v>6000000.0</v>
      </c>
      <c r="L34" s="94">
        <v>45750.0</v>
      </c>
    </row>
    <row r="35">
      <c r="A35" s="77">
        <v>411.0</v>
      </c>
      <c r="B35" s="78" t="s">
        <v>4620</v>
      </c>
      <c r="C35" s="79">
        <v>2.0251530021283E13</v>
      </c>
      <c r="D35" s="78" t="s">
        <v>4660</v>
      </c>
      <c r="E35" s="78" t="s">
        <v>899</v>
      </c>
      <c r="F35" s="81" t="s">
        <v>3917</v>
      </c>
      <c r="G35" s="82">
        <v>7.9272744E7</v>
      </c>
      <c r="H35" s="78" t="s">
        <v>4552</v>
      </c>
      <c r="I35" s="92" t="s">
        <v>973</v>
      </c>
      <c r="J35" s="81">
        <v>9.7841425E7</v>
      </c>
      <c r="K35" s="93">
        <v>7296600.0</v>
      </c>
      <c r="L35" s="94">
        <v>45749.0</v>
      </c>
    </row>
    <row r="36">
      <c r="A36" s="77">
        <v>412.0</v>
      </c>
      <c r="B36" s="78" t="s">
        <v>4620</v>
      </c>
      <c r="C36" s="79">
        <v>2.0251010021293E13</v>
      </c>
      <c r="D36" s="78" t="s">
        <v>4661</v>
      </c>
      <c r="E36" s="78" t="s">
        <v>206</v>
      </c>
      <c r="F36" s="81" t="s">
        <v>3917</v>
      </c>
      <c r="G36" s="82">
        <v>1.030634246E9</v>
      </c>
      <c r="H36" s="78" t="s">
        <v>3926</v>
      </c>
      <c r="I36" s="92" t="s">
        <v>211</v>
      </c>
      <c r="J36" s="81">
        <v>9.7808625E7</v>
      </c>
      <c r="K36" s="93">
        <v>1.1E7</v>
      </c>
      <c r="L36" s="94">
        <v>45749.0</v>
      </c>
    </row>
    <row r="37">
      <c r="A37" s="77">
        <v>413.0</v>
      </c>
      <c r="B37" s="78" t="s">
        <v>4620</v>
      </c>
      <c r="C37" s="79">
        <v>2.0251010021253E13</v>
      </c>
      <c r="D37" s="78" t="s">
        <v>4662</v>
      </c>
      <c r="E37" s="78" t="s">
        <v>1005</v>
      </c>
      <c r="F37" s="81" t="s">
        <v>3917</v>
      </c>
      <c r="G37" s="82">
        <v>5.2498078E7</v>
      </c>
      <c r="H37" s="78" t="s">
        <v>4262</v>
      </c>
      <c r="I37" s="92" t="s">
        <v>428</v>
      </c>
      <c r="J37" s="81">
        <v>1.10314025E8</v>
      </c>
      <c r="K37" s="93">
        <v>5500000.0</v>
      </c>
      <c r="L37" s="94">
        <v>45758.0</v>
      </c>
    </row>
    <row r="38">
      <c r="A38" s="77">
        <v>414.0</v>
      </c>
      <c r="B38" s="78" t="s">
        <v>4620</v>
      </c>
      <c r="C38" s="79">
        <v>2.0251010021303E13</v>
      </c>
      <c r="D38" s="78" t="s">
        <v>4663</v>
      </c>
      <c r="E38" s="78" t="s">
        <v>199</v>
      </c>
      <c r="F38" s="81" t="s">
        <v>3917</v>
      </c>
      <c r="G38" s="82">
        <v>1.013617963E9</v>
      </c>
      <c r="H38" s="78" t="s">
        <v>3973</v>
      </c>
      <c r="I38" s="92" t="s">
        <v>204</v>
      </c>
      <c r="J38" s="81">
        <v>1.00175325E8</v>
      </c>
      <c r="K38" s="93">
        <v>1.0E7</v>
      </c>
      <c r="L38" s="94">
        <v>45750.0</v>
      </c>
    </row>
    <row r="39">
      <c r="A39" s="77">
        <v>415.0</v>
      </c>
      <c r="B39" s="78" t="s">
        <v>4620</v>
      </c>
      <c r="C39" s="79">
        <v>2.0251530021313E13</v>
      </c>
      <c r="D39" s="78" t="s">
        <v>4664</v>
      </c>
      <c r="E39" s="78" t="s">
        <v>894</v>
      </c>
      <c r="F39" s="81" t="s">
        <v>3917</v>
      </c>
      <c r="G39" s="82">
        <v>1.070918327E9</v>
      </c>
      <c r="H39" s="78" t="s">
        <v>4227</v>
      </c>
      <c r="I39" s="92" t="s">
        <v>4655</v>
      </c>
      <c r="J39" s="81">
        <v>1.00172325E8</v>
      </c>
      <c r="K39" s="93">
        <v>7296600.0</v>
      </c>
      <c r="L39" s="94">
        <v>45750.0</v>
      </c>
    </row>
    <row r="40">
      <c r="A40" s="77">
        <v>416.0</v>
      </c>
      <c r="B40" s="78" t="s">
        <v>4620</v>
      </c>
      <c r="C40" s="79">
        <v>2.0251530021323E13</v>
      </c>
      <c r="D40" s="78" t="s">
        <v>4665</v>
      </c>
      <c r="E40" s="78" t="s">
        <v>1163</v>
      </c>
      <c r="F40" s="81" t="s">
        <v>3917</v>
      </c>
      <c r="G40" s="82">
        <v>1.05377392E9</v>
      </c>
      <c r="H40" s="78" t="s">
        <v>3989</v>
      </c>
      <c r="I40" s="92" t="s">
        <v>4433</v>
      </c>
      <c r="J40" s="81">
        <v>1.00215825E8</v>
      </c>
      <c r="K40" s="93">
        <v>5107620.0</v>
      </c>
      <c r="L40" s="94">
        <v>45750.0</v>
      </c>
    </row>
    <row r="41">
      <c r="A41" s="77">
        <v>417.0</v>
      </c>
      <c r="B41" s="78" t="s">
        <v>4620</v>
      </c>
      <c r="C41" s="79">
        <v>2.0251010021333E13</v>
      </c>
      <c r="D41" s="78" t="s">
        <v>4666</v>
      </c>
      <c r="E41" s="78" t="s">
        <v>2879</v>
      </c>
      <c r="F41" s="81" t="s">
        <v>3917</v>
      </c>
      <c r="G41" s="82">
        <v>5.3134639E7</v>
      </c>
      <c r="H41" s="78" t="s">
        <v>3953</v>
      </c>
      <c r="I41" s="92" t="s">
        <v>127</v>
      </c>
      <c r="J41" s="81">
        <v>1.00181925E8</v>
      </c>
      <c r="K41" s="93">
        <v>9000000.0</v>
      </c>
      <c r="L41" s="94">
        <v>45750.0</v>
      </c>
    </row>
    <row r="42">
      <c r="A42" s="77">
        <v>418.0</v>
      </c>
      <c r="B42" s="78" t="s">
        <v>4620</v>
      </c>
      <c r="C42" s="79">
        <v>2.0251530021343E13</v>
      </c>
      <c r="D42" s="78" t="s">
        <v>4667</v>
      </c>
      <c r="E42" s="78" t="s">
        <v>347</v>
      </c>
      <c r="F42" s="81" t="s">
        <v>3917</v>
      </c>
      <c r="G42" s="82">
        <v>1.09872233E9</v>
      </c>
      <c r="H42" s="78" t="s">
        <v>3922</v>
      </c>
      <c r="I42" s="92" t="s">
        <v>352</v>
      </c>
      <c r="J42" s="81">
        <v>1.00260625E8</v>
      </c>
      <c r="K42" s="93">
        <v>7866500.0</v>
      </c>
      <c r="L42" s="94">
        <v>45750.0</v>
      </c>
    </row>
    <row r="43">
      <c r="A43" s="77">
        <v>419.0</v>
      </c>
      <c r="B43" s="78" t="s">
        <v>4620</v>
      </c>
      <c r="C43" s="79">
        <v>2.0251800021353E13</v>
      </c>
      <c r="D43" s="78" t="s">
        <v>4668</v>
      </c>
      <c r="E43" s="78" t="s">
        <v>485</v>
      </c>
      <c r="F43" s="81" t="s">
        <v>3917</v>
      </c>
      <c r="G43" s="82">
        <v>7.4130577E7</v>
      </c>
      <c r="H43" s="78" t="s">
        <v>4131</v>
      </c>
      <c r="I43" s="92" t="s">
        <v>4333</v>
      </c>
      <c r="J43" s="81">
        <v>9.7797925E7</v>
      </c>
      <c r="K43" s="93">
        <v>8569000.0</v>
      </c>
      <c r="L43" s="94">
        <v>45749.0</v>
      </c>
    </row>
    <row r="44">
      <c r="A44" s="77">
        <v>420.0</v>
      </c>
      <c r="B44" s="78" t="s">
        <v>4620</v>
      </c>
      <c r="C44" s="79">
        <v>2.0251400021403E13</v>
      </c>
      <c r="D44" s="78" t="s">
        <v>4669</v>
      </c>
      <c r="E44" s="78" t="s">
        <v>299</v>
      </c>
      <c r="F44" s="81" t="s">
        <v>3917</v>
      </c>
      <c r="G44" s="82">
        <v>1.052408723E9</v>
      </c>
      <c r="H44" s="78" t="s">
        <v>3942</v>
      </c>
      <c r="I44" s="92" t="s">
        <v>112</v>
      </c>
      <c r="J44" s="81">
        <v>1.00251025E8</v>
      </c>
      <c r="K44" s="93">
        <v>4335000.0</v>
      </c>
      <c r="L44" s="94">
        <v>45750.0</v>
      </c>
    </row>
    <row r="45">
      <c r="A45" s="77">
        <v>421.0</v>
      </c>
      <c r="B45" s="78" t="s">
        <v>4620</v>
      </c>
      <c r="C45" s="79">
        <v>2.0251020021413E13</v>
      </c>
      <c r="D45" s="78" t="s">
        <v>4670</v>
      </c>
      <c r="E45" s="78" t="s">
        <v>253</v>
      </c>
      <c r="F45" s="81" t="s">
        <v>3917</v>
      </c>
      <c r="G45" s="82">
        <v>1.018492802E9</v>
      </c>
      <c r="H45" s="78" t="s">
        <v>3938</v>
      </c>
      <c r="I45" s="92" t="s">
        <v>1232</v>
      </c>
      <c r="J45" s="81">
        <v>9.7800825E7</v>
      </c>
      <c r="K45" s="93">
        <v>9585500.0</v>
      </c>
      <c r="L45" s="94">
        <v>45749.0</v>
      </c>
    </row>
    <row r="46">
      <c r="A46" s="77">
        <v>422.0</v>
      </c>
      <c r="B46" s="78" t="s">
        <v>4620</v>
      </c>
      <c r="C46" s="79">
        <v>2.0251020021433E13</v>
      </c>
      <c r="D46" s="78" t="s">
        <v>4671</v>
      </c>
      <c r="E46" s="78" t="s">
        <v>358</v>
      </c>
      <c r="F46" s="81" t="s">
        <v>3917</v>
      </c>
      <c r="G46" s="82">
        <v>1.098310315E9</v>
      </c>
      <c r="H46" s="78" t="s">
        <v>3936</v>
      </c>
      <c r="I46" s="92" t="s">
        <v>1232</v>
      </c>
      <c r="J46" s="81">
        <v>9.7793225E7</v>
      </c>
      <c r="K46" s="93">
        <v>8274000.0</v>
      </c>
      <c r="L46" s="94">
        <v>45749.0</v>
      </c>
    </row>
    <row r="47">
      <c r="A47" s="77">
        <v>423.0</v>
      </c>
      <c r="B47" s="78" t="s">
        <v>4620</v>
      </c>
      <c r="C47" s="79">
        <v>2.0251800021513E13</v>
      </c>
      <c r="D47" s="78" t="s">
        <v>4672</v>
      </c>
      <c r="E47" s="78" t="s">
        <v>454</v>
      </c>
      <c r="F47" s="81" t="s">
        <v>3917</v>
      </c>
      <c r="G47" s="82">
        <v>1.052394906E9</v>
      </c>
      <c r="H47" s="78" t="s">
        <v>4673</v>
      </c>
      <c r="I47" s="92" t="s">
        <v>4283</v>
      </c>
      <c r="J47" s="81">
        <v>1.01155425E8</v>
      </c>
      <c r="K47" s="93">
        <v>5930000.0</v>
      </c>
      <c r="L47" s="94">
        <v>45751.0</v>
      </c>
    </row>
    <row r="48">
      <c r="A48" s="77">
        <v>424.0</v>
      </c>
      <c r="B48" s="78" t="s">
        <v>4620</v>
      </c>
      <c r="C48" s="79">
        <v>2.0251610020673E13</v>
      </c>
      <c r="D48" s="78" t="s">
        <v>4674</v>
      </c>
      <c r="E48" s="78" t="s">
        <v>118</v>
      </c>
      <c r="F48" s="81" t="s">
        <v>3917</v>
      </c>
      <c r="G48" s="82">
        <v>1.014280937E9</v>
      </c>
      <c r="H48" s="78" t="s">
        <v>4009</v>
      </c>
      <c r="I48" s="92" t="s">
        <v>561</v>
      </c>
      <c r="J48" s="81">
        <v>1.04509425E8</v>
      </c>
      <c r="K48" s="93">
        <v>3285450.0</v>
      </c>
      <c r="L48" s="94">
        <v>45755.0</v>
      </c>
    </row>
    <row r="49">
      <c r="A49" s="77">
        <v>425.0</v>
      </c>
      <c r="B49" s="78" t="s">
        <v>4620</v>
      </c>
      <c r="C49" s="79">
        <v>2.0251010021463E13</v>
      </c>
      <c r="D49" s="78" t="s">
        <v>4675</v>
      </c>
      <c r="E49" s="78" t="s">
        <v>1061</v>
      </c>
      <c r="F49" s="81" t="s">
        <v>3917</v>
      </c>
      <c r="G49" s="82">
        <v>1.010233207E9</v>
      </c>
      <c r="H49" s="78" t="s">
        <v>4249</v>
      </c>
      <c r="I49" s="92" t="s">
        <v>127</v>
      </c>
      <c r="J49" s="81">
        <v>9.7822525E7</v>
      </c>
      <c r="K49" s="93">
        <v>5500000.0</v>
      </c>
      <c r="L49" s="94">
        <v>45749.0</v>
      </c>
    </row>
    <row r="50">
      <c r="A50" s="77">
        <v>426.0</v>
      </c>
      <c r="B50" s="78" t="s">
        <v>4620</v>
      </c>
      <c r="C50" s="79">
        <v>2.0251010021483E13</v>
      </c>
      <c r="D50" s="78" t="s">
        <v>4676</v>
      </c>
      <c r="E50" s="78" t="s">
        <v>582</v>
      </c>
      <c r="F50" s="81" t="s">
        <v>3917</v>
      </c>
      <c r="G50" s="82">
        <v>1.13065411E9</v>
      </c>
      <c r="H50" s="78" t="s">
        <v>3955</v>
      </c>
      <c r="I50" s="92" t="s">
        <v>127</v>
      </c>
      <c r="J50" s="81">
        <v>1.00167225E8</v>
      </c>
      <c r="K50" s="93">
        <v>9000000.0</v>
      </c>
      <c r="L50" s="94">
        <v>45750.0</v>
      </c>
    </row>
    <row r="51">
      <c r="A51" s="77">
        <v>427.0</v>
      </c>
      <c r="B51" s="78" t="s">
        <v>4620</v>
      </c>
      <c r="C51" s="79">
        <v>2.0251500021523E13</v>
      </c>
      <c r="D51" s="78" t="s">
        <v>4677</v>
      </c>
      <c r="E51" s="78" t="s">
        <v>4414</v>
      </c>
      <c r="F51" s="81" t="s">
        <v>3917</v>
      </c>
      <c r="G51" s="82">
        <v>1.128424536E9</v>
      </c>
      <c r="H51" s="78" t="s">
        <v>4415</v>
      </c>
      <c r="I51" s="92" t="s">
        <v>717</v>
      </c>
      <c r="J51" s="81">
        <v>1.00217625E8</v>
      </c>
      <c r="K51" s="93">
        <v>7296600.0</v>
      </c>
      <c r="L51" s="94">
        <v>45750.0</v>
      </c>
    </row>
    <row r="52">
      <c r="A52" s="77">
        <v>428.0</v>
      </c>
      <c r="B52" s="78" t="s">
        <v>4620</v>
      </c>
      <c r="C52" s="79">
        <v>2.0251000021553E13</v>
      </c>
      <c r="D52" s="78" t="s">
        <v>4678</v>
      </c>
      <c r="E52" s="78" t="s">
        <v>370</v>
      </c>
      <c r="F52" s="81" t="s">
        <v>3917</v>
      </c>
      <c r="G52" s="82">
        <v>1.020752782E9</v>
      </c>
      <c r="H52" s="78" t="s">
        <v>4146</v>
      </c>
      <c r="I52" s="92" t="s">
        <v>657</v>
      </c>
      <c r="J52" s="81">
        <v>1.01502225E8</v>
      </c>
      <c r="K52" s="93">
        <v>7000000.0</v>
      </c>
      <c r="L52" s="94">
        <v>45751.0</v>
      </c>
    </row>
    <row r="53">
      <c r="A53" s="77">
        <v>429.0</v>
      </c>
      <c r="B53" s="78" t="s">
        <v>4620</v>
      </c>
      <c r="C53" s="79">
        <v>2.0251000021563E13</v>
      </c>
      <c r="D53" s="78" t="s">
        <v>4679</v>
      </c>
      <c r="E53" s="78" t="s">
        <v>4112</v>
      </c>
      <c r="F53" s="81" t="s">
        <v>3917</v>
      </c>
      <c r="G53" s="82">
        <v>1.019065837E9</v>
      </c>
      <c r="H53" s="78" t="s">
        <v>4114</v>
      </c>
      <c r="I53" s="92" t="s">
        <v>410</v>
      </c>
      <c r="J53" s="81">
        <v>1.00199425E8</v>
      </c>
      <c r="K53" s="93">
        <v>5000000.0</v>
      </c>
      <c r="L53" s="94">
        <v>45750.0</v>
      </c>
    </row>
    <row r="54">
      <c r="A54" s="77">
        <v>430.0</v>
      </c>
      <c r="B54" s="78" t="s">
        <v>4620</v>
      </c>
      <c r="C54" s="79">
        <v>2.0251000021573E13</v>
      </c>
      <c r="D54" s="78" t="s">
        <v>4680</v>
      </c>
      <c r="E54" s="78" t="s">
        <v>406</v>
      </c>
      <c r="F54" s="81" t="s">
        <v>3917</v>
      </c>
      <c r="G54" s="82">
        <v>1.032504965E9</v>
      </c>
      <c r="H54" s="78" t="s">
        <v>4116</v>
      </c>
      <c r="I54" s="92" t="s">
        <v>410</v>
      </c>
      <c r="J54" s="81">
        <v>1.01131425E8</v>
      </c>
      <c r="K54" s="93">
        <v>4227300.0</v>
      </c>
      <c r="L54" s="94">
        <v>45751.0</v>
      </c>
    </row>
    <row r="55">
      <c r="A55" s="77">
        <v>431.0</v>
      </c>
      <c r="B55" s="78" t="s">
        <v>4620</v>
      </c>
      <c r="C55" s="79">
        <v>2.0251110021613E13</v>
      </c>
      <c r="D55" s="78" t="s">
        <v>4681</v>
      </c>
      <c r="E55" s="78" t="s">
        <v>141</v>
      </c>
      <c r="F55" s="81" t="s">
        <v>3917</v>
      </c>
      <c r="G55" s="82">
        <v>5.2215231E7</v>
      </c>
      <c r="H55" s="78" t="s">
        <v>3963</v>
      </c>
      <c r="I55" s="92" t="s">
        <v>4682</v>
      </c>
      <c r="J55" s="81">
        <v>1.01137025E8</v>
      </c>
      <c r="K55" s="93">
        <v>7436960.0</v>
      </c>
      <c r="L55" s="94">
        <v>45751.0</v>
      </c>
    </row>
    <row r="56">
      <c r="A56" s="77">
        <v>432.0</v>
      </c>
      <c r="B56" s="78" t="s">
        <v>4620</v>
      </c>
      <c r="C56" s="79">
        <v>2.0251010021653E13</v>
      </c>
      <c r="D56" s="78" t="s">
        <v>4683</v>
      </c>
      <c r="E56" s="78" t="s">
        <v>818</v>
      </c>
      <c r="F56" s="81" t="s">
        <v>3917</v>
      </c>
      <c r="G56" s="82">
        <v>1.033769305E9</v>
      </c>
      <c r="H56" s="78" t="s">
        <v>4247</v>
      </c>
      <c r="I56" s="92" t="s">
        <v>211</v>
      </c>
      <c r="J56" s="81">
        <v>1.01141025E8</v>
      </c>
      <c r="K56" s="93">
        <v>8000000.0</v>
      </c>
      <c r="L56" s="94">
        <v>45751.0</v>
      </c>
    </row>
    <row r="57">
      <c r="A57" s="77">
        <v>433.0</v>
      </c>
      <c r="B57" s="78" t="s">
        <v>4620</v>
      </c>
      <c r="C57" s="79">
        <v>2.0251800021663E13</v>
      </c>
      <c r="D57" s="78" t="s">
        <v>4684</v>
      </c>
      <c r="E57" s="78" t="s">
        <v>224</v>
      </c>
      <c r="F57" s="81" t="s">
        <v>3917</v>
      </c>
      <c r="G57" s="82">
        <v>1.073512831E9</v>
      </c>
      <c r="H57" s="78" t="s">
        <v>3930</v>
      </c>
      <c r="I57" s="92" t="s">
        <v>1397</v>
      </c>
      <c r="J57" s="81">
        <v>1.03872425E8</v>
      </c>
      <c r="K57" s="93">
        <v>8569000.0</v>
      </c>
      <c r="L57" s="94">
        <v>45754.0</v>
      </c>
    </row>
    <row r="58">
      <c r="A58" s="77">
        <v>434.0</v>
      </c>
      <c r="B58" s="78" t="s">
        <v>4620</v>
      </c>
      <c r="C58" s="79">
        <v>2.0251700021673E13</v>
      </c>
      <c r="D58" s="78" t="s">
        <v>4685</v>
      </c>
      <c r="E58" s="78" t="s">
        <v>148</v>
      </c>
      <c r="F58" s="81" t="s">
        <v>3917</v>
      </c>
      <c r="G58" s="82">
        <v>1.033684312E9</v>
      </c>
      <c r="H58" s="78" t="s">
        <v>4108</v>
      </c>
      <c r="I58" s="92" t="s">
        <v>4269</v>
      </c>
      <c r="J58" s="81">
        <v>1.01139725E8</v>
      </c>
      <c r="K58" s="93">
        <v>8997450.0</v>
      </c>
      <c r="L58" s="94">
        <v>45751.0</v>
      </c>
    </row>
    <row r="59">
      <c r="A59" s="77">
        <v>435.0</v>
      </c>
      <c r="B59" s="78" t="s">
        <v>4620</v>
      </c>
      <c r="C59" s="79">
        <v>2.0251610021363E13</v>
      </c>
      <c r="D59" s="78" t="s">
        <v>4686</v>
      </c>
      <c r="E59" s="78" t="s">
        <v>1013</v>
      </c>
      <c r="F59" s="81" t="s">
        <v>3917</v>
      </c>
      <c r="G59" s="82">
        <v>1.032445678E9</v>
      </c>
      <c r="H59" s="78" t="s">
        <v>4404</v>
      </c>
      <c r="I59" s="92" t="s">
        <v>561</v>
      </c>
      <c r="J59" s="81">
        <v>1.10314125E8</v>
      </c>
      <c r="K59" s="93">
        <v>6226500.0</v>
      </c>
      <c r="L59" s="94">
        <v>45758.0</v>
      </c>
    </row>
    <row r="60">
      <c r="A60" s="77">
        <v>436.0</v>
      </c>
      <c r="B60" s="78" t="s">
        <v>4620</v>
      </c>
      <c r="C60" s="79">
        <v>2.0251610021373E13</v>
      </c>
      <c r="D60" s="78" t="s">
        <v>4687</v>
      </c>
      <c r="E60" s="78" t="s">
        <v>780</v>
      </c>
      <c r="F60" s="81" t="s">
        <v>3944</v>
      </c>
      <c r="G60" s="82">
        <v>761786.0</v>
      </c>
      <c r="H60" s="78" t="s">
        <v>4321</v>
      </c>
      <c r="I60" s="92" t="s">
        <v>561</v>
      </c>
      <c r="J60" s="81">
        <v>1.04514125E8</v>
      </c>
      <c r="K60" s="93">
        <v>3285450.0</v>
      </c>
      <c r="L60" s="94">
        <v>45755.0</v>
      </c>
    </row>
    <row r="61">
      <c r="A61" s="77">
        <v>437.0</v>
      </c>
      <c r="B61" s="78" t="s">
        <v>4620</v>
      </c>
      <c r="C61" s="104">
        <v>2.0251020022563E13</v>
      </c>
      <c r="D61" s="78" t="s">
        <v>4688</v>
      </c>
      <c r="E61" s="106" t="s">
        <v>2828</v>
      </c>
      <c r="F61" s="81" t="s">
        <v>3917</v>
      </c>
      <c r="G61" s="82">
        <v>5.2382217E7</v>
      </c>
      <c r="H61" s="78" t="s">
        <v>4174</v>
      </c>
      <c r="I61" s="92" t="s">
        <v>4319</v>
      </c>
      <c r="J61" s="81">
        <v>1.05675325E8</v>
      </c>
      <c r="K61" s="93">
        <v>6240000.0</v>
      </c>
      <c r="L61" s="94">
        <v>45755.0</v>
      </c>
    </row>
    <row r="62">
      <c r="A62" s="77">
        <v>438.0</v>
      </c>
      <c r="B62" s="78" t="s">
        <v>4620</v>
      </c>
      <c r="C62" s="79">
        <v>2.0251020021703E13</v>
      </c>
      <c r="D62" s="78" t="s">
        <v>4689</v>
      </c>
      <c r="E62" s="78" t="s">
        <v>908</v>
      </c>
      <c r="F62" s="81" t="s">
        <v>3917</v>
      </c>
      <c r="G62" s="82">
        <v>1.0207309E9</v>
      </c>
      <c r="H62" s="78" t="s">
        <v>4329</v>
      </c>
      <c r="I62" s="92" t="s">
        <v>4690</v>
      </c>
      <c r="J62" s="81">
        <v>9.7828325E7</v>
      </c>
      <c r="K62" s="93">
        <v>1.16113E7</v>
      </c>
      <c r="L62" s="94">
        <v>45749.0</v>
      </c>
    </row>
    <row r="63">
      <c r="A63" s="77">
        <v>439.0</v>
      </c>
      <c r="B63" s="78" t="s">
        <v>4620</v>
      </c>
      <c r="C63" s="79">
        <v>2.0251900021723E13</v>
      </c>
      <c r="D63" s="78" t="s">
        <v>4691</v>
      </c>
      <c r="E63" s="78" t="s">
        <v>681</v>
      </c>
      <c r="F63" s="81" t="s">
        <v>3917</v>
      </c>
      <c r="G63" s="82">
        <v>5.2181636E7</v>
      </c>
      <c r="H63" s="78" t="s">
        <v>4418</v>
      </c>
      <c r="I63" s="92" t="s">
        <v>222</v>
      </c>
      <c r="J63" s="81">
        <v>9.7816025E7</v>
      </c>
      <c r="K63" s="93">
        <v>8000000.0</v>
      </c>
      <c r="L63" s="94">
        <v>45749.0</v>
      </c>
    </row>
    <row r="64">
      <c r="A64" s="77">
        <v>440.0</v>
      </c>
      <c r="B64" s="78" t="s">
        <v>4620</v>
      </c>
      <c r="C64" s="79">
        <v>2.0251900021733E13</v>
      </c>
      <c r="D64" s="78" t="s">
        <v>4692</v>
      </c>
      <c r="E64" s="78" t="s">
        <v>927</v>
      </c>
      <c r="F64" s="81" t="s">
        <v>3917</v>
      </c>
      <c r="G64" s="82">
        <v>1.1433786E9</v>
      </c>
      <c r="H64" s="78" t="s">
        <v>4614</v>
      </c>
      <c r="I64" s="92" t="s">
        <v>433</v>
      </c>
      <c r="J64" s="81">
        <v>1.01159525E8</v>
      </c>
      <c r="K64" s="93">
        <v>8000000.0</v>
      </c>
      <c r="L64" s="94">
        <v>45751.0</v>
      </c>
    </row>
    <row r="65">
      <c r="A65" s="77">
        <v>441.0</v>
      </c>
      <c r="B65" s="78" t="s">
        <v>4620</v>
      </c>
      <c r="C65" s="79">
        <v>2.0251900021743E13</v>
      </c>
      <c r="D65" s="78" t="s">
        <v>4693</v>
      </c>
      <c r="E65" s="78" t="s">
        <v>4286</v>
      </c>
      <c r="F65" s="81" t="s">
        <v>3917</v>
      </c>
      <c r="G65" s="82">
        <v>1.030564407E9</v>
      </c>
      <c r="H65" s="78" t="s">
        <v>4287</v>
      </c>
      <c r="I65" s="92" t="s">
        <v>222</v>
      </c>
      <c r="J65" s="81">
        <v>9.7844525E7</v>
      </c>
      <c r="K65" s="93">
        <v>7100000.0</v>
      </c>
      <c r="L65" s="94">
        <v>45749.0</v>
      </c>
    </row>
    <row r="66">
      <c r="A66" s="77">
        <v>442.0</v>
      </c>
      <c r="B66" s="78" t="s">
        <v>4620</v>
      </c>
      <c r="C66" s="104">
        <v>2.0251110021713E13</v>
      </c>
      <c r="D66" s="78" t="s">
        <v>4694</v>
      </c>
      <c r="E66" s="78" t="s">
        <v>750</v>
      </c>
      <c r="F66" s="81" t="s">
        <v>3917</v>
      </c>
      <c r="G66" s="82">
        <v>1.110503697E9</v>
      </c>
      <c r="H66" s="78" t="s">
        <v>4298</v>
      </c>
      <c r="I66" s="92" t="s">
        <v>2596</v>
      </c>
      <c r="J66" s="81">
        <v>1.10330125E8</v>
      </c>
      <c r="K66" s="93">
        <v>3502800.0</v>
      </c>
      <c r="L66" s="94">
        <v>45758.0</v>
      </c>
    </row>
    <row r="67">
      <c r="A67" s="77">
        <v>443.0</v>
      </c>
      <c r="B67" s="78" t="s">
        <v>4620</v>
      </c>
      <c r="C67" s="104">
        <v>2.0251020021753E13</v>
      </c>
      <c r="D67" s="78" t="s">
        <v>4695</v>
      </c>
      <c r="E67" s="78" t="s">
        <v>2770</v>
      </c>
      <c r="F67" s="81" t="s">
        <v>3917</v>
      </c>
      <c r="G67" s="82">
        <v>1.233490485E9</v>
      </c>
      <c r="H67" s="78" t="s">
        <v>4160</v>
      </c>
      <c r="I67" s="92" t="s">
        <v>4295</v>
      </c>
      <c r="J67" s="81">
        <v>1.11005025E8</v>
      </c>
      <c r="K67" s="93">
        <v>5000000.0</v>
      </c>
      <c r="L67" s="94">
        <v>45758.0</v>
      </c>
    </row>
    <row r="68">
      <c r="A68" s="77">
        <v>444.0</v>
      </c>
      <c r="B68" s="78" t="s">
        <v>4620</v>
      </c>
      <c r="C68" s="78" t="s">
        <v>4696</v>
      </c>
      <c r="D68" s="78" t="s">
        <v>4697</v>
      </c>
      <c r="E68" s="107" t="s">
        <v>835</v>
      </c>
      <c r="F68" s="77" t="s">
        <v>3917</v>
      </c>
      <c r="G68" s="82">
        <v>1.010065876E9</v>
      </c>
      <c r="H68" s="78" t="s">
        <v>4450</v>
      </c>
      <c r="I68" s="92" t="s">
        <v>551</v>
      </c>
      <c r="J68" s="81">
        <v>1.12812925E8</v>
      </c>
      <c r="K68" s="93">
        <v>4000000.0</v>
      </c>
      <c r="L68" s="94">
        <v>45761.0</v>
      </c>
    </row>
    <row r="69">
      <c r="A69" s="77">
        <v>445.0</v>
      </c>
      <c r="B69" s="78" t="s">
        <v>4620</v>
      </c>
      <c r="C69" s="79">
        <v>2.0251700021773E13</v>
      </c>
      <c r="D69" s="78" t="s">
        <v>4698</v>
      </c>
      <c r="E69" s="105" t="s">
        <v>4465</v>
      </c>
      <c r="F69" s="81" t="s">
        <v>3917</v>
      </c>
      <c r="G69" s="82">
        <v>1.057584892E9</v>
      </c>
      <c r="H69" s="78" t="s">
        <v>4466</v>
      </c>
      <c r="I69" s="92" t="s">
        <v>739</v>
      </c>
      <c r="J69" s="81">
        <v>1.00279925E8</v>
      </c>
      <c r="K69" s="93">
        <v>1.04181E7</v>
      </c>
      <c r="L69" s="94">
        <v>45750.0</v>
      </c>
    </row>
    <row r="70">
      <c r="A70" s="77">
        <v>446.0</v>
      </c>
      <c r="B70" s="78" t="s">
        <v>4620</v>
      </c>
      <c r="C70" s="79">
        <v>2.0251500021813E13</v>
      </c>
      <c r="D70" s="78" t="s">
        <v>4699</v>
      </c>
      <c r="E70" s="78" t="s">
        <v>416</v>
      </c>
      <c r="F70" s="81" t="s">
        <v>3917</v>
      </c>
      <c r="G70" s="82">
        <v>1.05382899E9</v>
      </c>
      <c r="H70" s="78" t="s">
        <v>3947</v>
      </c>
      <c r="I70" s="92" t="s">
        <v>421</v>
      </c>
      <c r="J70" s="81">
        <v>1.00281725E8</v>
      </c>
      <c r="K70" s="93">
        <v>1.2544456E7</v>
      </c>
      <c r="L70" s="94">
        <v>45750.0</v>
      </c>
    </row>
    <row r="71">
      <c r="A71" s="77">
        <v>447.0</v>
      </c>
      <c r="B71" s="78" t="s">
        <v>4620</v>
      </c>
      <c r="C71" s="79">
        <v>2.0251510021843E13</v>
      </c>
      <c r="D71" s="78" t="s">
        <v>4700</v>
      </c>
      <c r="E71" s="78" t="s">
        <v>668</v>
      </c>
      <c r="F71" s="81" t="s">
        <v>3917</v>
      </c>
      <c r="G71" s="82">
        <v>1.032463587E9</v>
      </c>
      <c r="H71" s="78" t="s">
        <v>4314</v>
      </c>
      <c r="I71" s="92" t="s">
        <v>4315</v>
      </c>
      <c r="J71" s="81">
        <v>1.01134425E8</v>
      </c>
      <c r="K71" s="93">
        <v>7896600.0</v>
      </c>
      <c r="L71" s="94">
        <v>45751.0</v>
      </c>
    </row>
    <row r="72">
      <c r="A72" s="77">
        <v>448.0</v>
      </c>
      <c r="B72" s="78" t="s">
        <v>4620</v>
      </c>
      <c r="C72" s="79">
        <v>2.0251120021853E13</v>
      </c>
      <c r="D72" s="78" t="s">
        <v>4701</v>
      </c>
      <c r="E72" s="78" t="s">
        <v>525</v>
      </c>
      <c r="F72" s="81" t="s">
        <v>3917</v>
      </c>
      <c r="G72" s="82">
        <v>7687651.0</v>
      </c>
      <c r="H72" s="78" t="s">
        <v>3965</v>
      </c>
      <c r="I72" s="92" t="s">
        <v>4356</v>
      </c>
      <c r="J72" s="81">
        <v>1.01142625E8</v>
      </c>
      <c r="K72" s="93">
        <v>7366800.0</v>
      </c>
      <c r="L72" s="94">
        <v>45751.0</v>
      </c>
    </row>
    <row r="73">
      <c r="A73" s="77">
        <v>449.0</v>
      </c>
      <c r="B73" s="78" t="s">
        <v>4620</v>
      </c>
      <c r="C73" s="79">
        <v>2.0251020021873E13</v>
      </c>
      <c r="D73" s="78" t="s">
        <v>4702</v>
      </c>
      <c r="E73" s="78" t="s">
        <v>380</v>
      </c>
      <c r="F73" s="81" t="s">
        <v>3917</v>
      </c>
      <c r="G73" s="82">
        <v>1.016081819E9</v>
      </c>
      <c r="H73" s="78" t="s">
        <v>3949</v>
      </c>
      <c r="I73" s="92" t="s">
        <v>4703</v>
      </c>
      <c r="J73" s="81">
        <v>1.11217725E8</v>
      </c>
      <c r="K73" s="93">
        <v>1.04181E7</v>
      </c>
      <c r="L73" s="94">
        <v>45758.0</v>
      </c>
    </row>
    <row r="74">
      <c r="A74" s="77">
        <v>450.0</v>
      </c>
      <c r="B74" s="78" t="s">
        <v>4620</v>
      </c>
      <c r="C74" s="79">
        <v>2.0251700021893E13</v>
      </c>
      <c r="D74" s="78" t="s">
        <v>4704</v>
      </c>
      <c r="E74" s="108" t="s">
        <v>634</v>
      </c>
      <c r="F74" s="77" t="s">
        <v>3917</v>
      </c>
      <c r="G74" s="82">
        <v>5.2016453E7</v>
      </c>
      <c r="H74" s="78" t="s">
        <v>4371</v>
      </c>
      <c r="I74" s="92" t="s">
        <v>4372</v>
      </c>
      <c r="J74" s="81">
        <v>1.01842325E8</v>
      </c>
      <c r="K74" s="93">
        <v>8997450.0</v>
      </c>
      <c r="L74" s="94">
        <v>45751.0</v>
      </c>
    </row>
    <row r="75">
      <c r="A75" s="77">
        <v>451.0</v>
      </c>
      <c r="B75" s="78" t="s">
        <v>4620</v>
      </c>
      <c r="C75" s="79">
        <v>2.0251400021933E13</v>
      </c>
      <c r="D75" s="78" t="s">
        <v>4705</v>
      </c>
      <c r="E75" s="105" t="s">
        <v>2888</v>
      </c>
      <c r="F75" s="81" t="s">
        <v>3917</v>
      </c>
      <c r="G75" s="82">
        <v>1.069759231E9</v>
      </c>
      <c r="H75" s="78" t="s">
        <v>3975</v>
      </c>
      <c r="I75" s="92" t="s">
        <v>666</v>
      </c>
      <c r="J75" s="81">
        <v>1.01806825E8</v>
      </c>
      <c r="K75" s="93">
        <v>7942200.0</v>
      </c>
      <c r="L75" s="94">
        <v>45751.0</v>
      </c>
    </row>
    <row r="76">
      <c r="A76" s="77">
        <v>452.0</v>
      </c>
      <c r="B76" s="78" t="s">
        <v>4620</v>
      </c>
      <c r="C76" s="79">
        <v>2.0251900021943E13</v>
      </c>
      <c r="D76" s="78" t="s">
        <v>4706</v>
      </c>
      <c r="E76" s="78" t="s">
        <v>831</v>
      </c>
      <c r="F76" s="81" t="s">
        <v>3917</v>
      </c>
      <c r="G76" s="82">
        <v>1.026579774E9</v>
      </c>
      <c r="H76" s="78" t="s">
        <v>4424</v>
      </c>
      <c r="I76" s="92" t="s">
        <v>433</v>
      </c>
      <c r="J76" s="81">
        <v>1.11236725E8</v>
      </c>
      <c r="K76" s="93">
        <v>7100000.0</v>
      </c>
      <c r="L76" s="94">
        <v>45758.0</v>
      </c>
    </row>
    <row r="77">
      <c r="A77" s="77">
        <v>453.0</v>
      </c>
      <c r="B77" s="78" t="s">
        <v>4620</v>
      </c>
      <c r="C77" s="79">
        <v>2.0251500021953E13</v>
      </c>
      <c r="D77" s="78" t="s">
        <v>4707</v>
      </c>
      <c r="E77" s="78" t="s">
        <v>4362</v>
      </c>
      <c r="F77" s="81" t="s">
        <v>3917</v>
      </c>
      <c r="G77" s="82">
        <v>1.070963356E9</v>
      </c>
      <c r="H77" s="78" t="s">
        <v>4363</v>
      </c>
      <c r="I77" s="92" t="s">
        <v>912</v>
      </c>
      <c r="J77" s="81">
        <v>1.01862525E8</v>
      </c>
      <c r="K77" s="93">
        <v>7296600.0</v>
      </c>
      <c r="L77" s="94">
        <v>45751.0</v>
      </c>
    </row>
    <row r="78">
      <c r="A78" s="77">
        <v>454.0</v>
      </c>
      <c r="B78" s="78" t="s">
        <v>4620</v>
      </c>
      <c r="C78" s="79">
        <v>2.0251120022003E13</v>
      </c>
      <c r="D78" s="78" t="s">
        <v>4708</v>
      </c>
      <c r="E78" s="78" t="s">
        <v>2812</v>
      </c>
      <c r="F78" s="81" t="s">
        <v>3917</v>
      </c>
      <c r="G78" s="82">
        <v>1.054679552E9</v>
      </c>
      <c r="H78" s="78" t="s">
        <v>3967</v>
      </c>
      <c r="I78" s="92" t="s">
        <v>4356</v>
      </c>
      <c r="J78" s="81">
        <v>1.13875425E8</v>
      </c>
      <c r="K78" s="93">
        <v>7366800.0</v>
      </c>
      <c r="L78" s="94">
        <v>45762.0</v>
      </c>
    </row>
    <row r="79">
      <c r="A79" s="77">
        <v>455.0</v>
      </c>
      <c r="B79" s="78" t="s">
        <v>4620</v>
      </c>
      <c r="C79" s="79">
        <v>2.0251300021983E13</v>
      </c>
      <c r="D79" s="78" t="s">
        <v>4709</v>
      </c>
      <c r="E79" s="78" t="s">
        <v>505</v>
      </c>
      <c r="F79" s="81" t="s">
        <v>3917</v>
      </c>
      <c r="G79" s="82">
        <v>7183875.0</v>
      </c>
      <c r="H79" s="78" t="s">
        <v>4002</v>
      </c>
      <c r="I79" s="92" t="s">
        <v>509</v>
      </c>
      <c r="J79" s="81">
        <v>1.00253725E8</v>
      </c>
      <c r="K79" s="93">
        <v>7500000.0</v>
      </c>
      <c r="L79" s="94">
        <v>45750.0</v>
      </c>
    </row>
    <row r="80">
      <c r="A80" s="77">
        <v>456.0</v>
      </c>
      <c r="B80" s="78" t="s">
        <v>4620</v>
      </c>
      <c r="C80" s="79">
        <v>2.0251610021263E13</v>
      </c>
      <c r="D80" s="78" t="s">
        <v>4710</v>
      </c>
      <c r="E80" s="78" t="s">
        <v>320</v>
      </c>
      <c r="F80" s="81" t="s">
        <v>3917</v>
      </c>
      <c r="G80" s="82">
        <v>5.2866537E7</v>
      </c>
      <c r="H80" s="78" t="s">
        <v>4020</v>
      </c>
      <c r="I80" s="92" t="s">
        <v>318</v>
      </c>
      <c r="J80" s="81">
        <v>1.00227725E8</v>
      </c>
      <c r="K80" s="93">
        <v>1.04181E7</v>
      </c>
      <c r="L80" s="94">
        <v>45750.0</v>
      </c>
    </row>
    <row r="81">
      <c r="A81" s="77">
        <v>457.0</v>
      </c>
      <c r="B81" s="78" t="s">
        <v>4620</v>
      </c>
      <c r="C81" s="79">
        <v>2.0251610021533E13</v>
      </c>
      <c r="D81" s="78" t="s">
        <v>4711</v>
      </c>
      <c r="E81" s="78" t="s">
        <v>314</v>
      </c>
      <c r="F81" s="81" t="s">
        <v>3917</v>
      </c>
      <c r="G81" s="82">
        <v>1.019009968E9</v>
      </c>
      <c r="H81" s="78" t="s">
        <v>4036</v>
      </c>
      <c r="I81" s="92" t="s">
        <v>318</v>
      </c>
      <c r="J81" s="81">
        <v>1.00233125E8</v>
      </c>
      <c r="K81" s="93">
        <v>1.321376E7</v>
      </c>
      <c r="L81" s="94">
        <v>45750.0</v>
      </c>
    </row>
    <row r="82">
      <c r="A82" s="77">
        <v>458.0</v>
      </c>
      <c r="B82" s="78" t="s">
        <v>4620</v>
      </c>
      <c r="C82" s="79">
        <v>2.0251610021863E13</v>
      </c>
      <c r="D82" s="78" t="s">
        <v>4712</v>
      </c>
      <c r="E82" s="78" t="s">
        <v>4309</v>
      </c>
      <c r="F82" s="81" t="s">
        <v>3917</v>
      </c>
      <c r="G82" s="82">
        <v>7.97447E7</v>
      </c>
      <c r="H82" s="78" t="s">
        <v>4310</v>
      </c>
      <c r="I82" s="92" t="s">
        <v>318</v>
      </c>
      <c r="J82" s="81">
        <v>1.01167425E8</v>
      </c>
      <c r="K82" s="93">
        <v>1.320781E7</v>
      </c>
      <c r="L82" s="94">
        <v>45751.0</v>
      </c>
    </row>
    <row r="83">
      <c r="A83" s="77">
        <v>459.0</v>
      </c>
      <c r="B83" s="78" t="s">
        <v>4620</v>
      </c>
      <c r="C83" s="79">
        <v>2.0251610021973E13</v>
      </c>
      <c r="D83" s="78" t="s">
        <v>4713</v>
      </c>
      <c r="E83" s="78" t="s">
        <v>353</v>
      </c>
      <c r="F83" s="81" t="s">
        <v>3917</v>
      </c>
      <c r="G83" s="82">
        <v>1.018453844E9</v>
      </c>
      <c r="H83" s="78" t="s">
        <v>4017</v>
      </c>
      <c r="I83" s="92" t="s">
        <v>318</v>
      </c>
      <c r="J83" s="81">
        <v>1.00236725E8</v>
      </c>
      <c r="K83" s="93">
        <v>1.04181E7</v>
      </c>
      <c r="L83" s="94">
        <v>45750.0</v>
      </c>
    </row>
    <row r="84">
      <c r="A84" s="77">
        <v>460.0</v>
      </c>
      <c r="B84" s="78" t="s">
        <v>4620</v>
      </c>
      <c r="C84" s="104">
        <v>2.0251610021593E13</v>
      </c>
      <c r="D84" s="78" t="s">
        <v>4714</v>
      </c>
      <c r="E84" s="78" t="s">
        <v>562</v>
      </c>
      <c r="F84" s="81" t="s">
        <v>3917</v>
      </c>
      <c r="G84" s="82">
        <v>1.144099527E9</v>
      </c>
      <c r="H84" s="78" t="s">
        <v>4015</v>
      </c>
      <c r="I84" s="92" t="s">
        <v>561</v>
      </c>
      <c r="J84" s="81">
        <v>1.10328925E8</v>
      </c>
      <c r="K84" s="93">
        <v>4374300.0</v>
      </c>
      <c r="L84" s="94">
        <v>45758.0</v>
      </c>
    </row>
    <row r="85">
      <c r="A85" s="77">
        <v>461.0</v>
      </c>
      <c r="B85" s="78" t="s">
        <v>4620</v>
      </c>
      <c r="C85" s="78" t="s">
        <v>2854</v>
      </c>
      <c r="D85" s="78" t="s">
        <v>4715</v>
      </c>
      <c r="E85" s="78" t="s">
        <v>2854</v>
      </c>
      <c r="F85" s="81" t="s">
        <v>3917</v>
      </c>
      <c r="G85" s="82">
        <v>1.019065789E9</v>
      </c>
      <c r="H85" s="78" t="s">
        <v>3979</v>
      </c>
      <c r="I85" s="92" t="s">
        <v>666</v>
      </c>
      <c r="J85" s="81">
        <v>1.03897725E8</v>
      </c>
      <c r="K85" s="93">
        <v>7067762.0</v>
      </c>
      <c r="L85" s="94">
        <v>45754.0</v>
      </c>
    </row>
    <row r="86">
      <c r="A86" s="77">
        <v>462.0</v>
      </c>
      <c r="B86" s="78" t="s">
        <v>4620</v>
      </c>
      <c r="C86" s="79">
        <v>2.0251020022063E13</v>
      </c>
      <c r="D86" s="78" t="s">
        <v>4716</v>
      </c>
      <c r="E86" s="78" t="s">
        <v>2821</v>
      </c>
      <c r="F86" s="81" t="s">
        <v>3917</v>
      </c>
      <c r="G86" s="82">
        <v>1.04962724E9</v>
      </c>
      <c r="H86" s="78" t="s">
        <v>4176</v>
      </c>
      <c r="I86" s="92" t="s">
        <v>4319</v>
      </c>
      <c r="J86" s="81">
        <v>1.08212525E8</v>
      </c>
      <c r="K86" s="93">
        <v>6260650.0</v>
      </c>
      <c r="L86" s="94">
        <v>45756.0</v>
      </c>
    </row>
    <row r="87">
      <c r="A87" s="77">
        <v>463.0</v>
      </c>
      <c r="B87" s="78" t="s">
        <v>4620</v>
      </c>
      <c r="C87" s="79">
        <v>2.0251500022073E13</v>
      </c>
      <c r="D87" s="78" t="s">
        <v>4717</v>
      </c>
      <c r="E87" s="78" t="s">
        <v>814</v>
      </c>
      <c r="F87" s="81" t="s">
        <v>3917</v>
      </c>
      <c r="G87" s="82">
        <v>1.015424748E9</v>
      </c>
      <c r="H87" s="78" t="s">
        <v>4477</v>
      </c>
      <c r="I87" s="92" t="s">
        <v>912</v>
      </c>
      <c r="J87" s="81">
        <v>1.01818125E8</v>
      </c>
      <c r="K87" s="93">
        <v>7296600.0</v>
      </c>
      <c r="L87" s="94">
        <v>45751.0</v>
      </c>
    </row>
    <row r="88">
      <c r="A88" s="77">
        <v>464.0</v>
      </c>
      <c r="B88" s="78" t="s">
        <v>4620</v>
      </c>
      <c r="C88" s="79">
        <v>2.0251700022083E13</v>
      </c>
      <c r="D88" s="78" t="s">
        <v>4718</v>
      </c>
      <c r="E88" s="78" t="s">
        <v>629</v>
      </c>
      <c r="F88" s="81" t="s">
        <v>3917</v>
      </c>
      <c r="G88" s="82">
        <v>5.3000155E7</v>
      </c>
      <c r="H88" s="78" t="s">
        <v>4303</v>
      </c>
      <c r="I88" s="92" t="s">
        <v>744</v>
      </c>
      <c r="J88" s="81">
        <v>1.01895225E8</v>
      </c>
      <c r="K88" s="93">
        <v>1.04181E7</v>
      </c>
      <c r="L88" s="94">
        <v>45751.0</v>
      </c>
    </row>
    <row r="89">
      <c r="A89" s="77">
        <v>465.0</v>
      </c>
      <c r="B89" s="78" t="s">
        <v>4620</v>
      </c>
      <c r="C89" s="79">
        <v>2.0251500022093E13</v>
      </c>
      <c r="D89" s="78" t="s">
        <v>4719</v>
      </c>
      <c r="E89" s="78" t="s">
        <v>4410</v>
      </c>
      <c r="F89" s="81" t="s">
        <v>3917</v>
      </c>
      <c r="G89" s="82">
        <v>1.052394569E9</v>
      </c>
      <c r="H89" s="78" t="s">
        <v>4411</v>
      </c>
      <c r="I89" s="92" t="s">
        <v>4412</v>
      </c>
      <c r="J89" s="81">
        <v>1.01918725E8</v>
      </c>
      <c r="K89" s="93">
        <v>7296600.0</v>
      </c>
      <c r="L89" s="94">
        <v>45751.0</v>
      </c>
    </row>
    <row r="90">
      <c r="A90" s="77">
        <v>466.0</v>
      </c>
      <c r="B90" s="78" t="s">
        <v>4620</v>
      </c>
      <c r="C90" s="79">
        <v>2.0251500022113E13</v>
      </c>
      <c r="D90" s="78" t="s">
        <v>4720</v>
      </c>
      <c r="E90" s="78" t="s">
        <v>602</v>
      </c>
      <c r="F90" s="81" t="s">
        <v>3917</v>
      </c>
      <c r="G90" s="82">
        <v>1.032461718E9</v>
      </c>
      <c r="H90" s="78" t="s">
        <v>4353</v>
      </c>
      <c r="I90" s="92" t="s">
        <v>966</v>
      </c>
      <c r="J90" s="81">
        <v>1.01865325E8</v>
      </c>
      <c r="K90" s="93">
        <v>7296600.0</v>
      </c>
      <c r="L90" s="94">
        <v>45751.0</v>
      </c>
    </row>
    <row r="91">
      <c r="A91" s="77">
        <v>467.0</v>
      </c>
      <c r="B91" s="78" t="s">
        <v>4620</v>
      </c>
      <c r="C91" s="79">
        <v>2.0251500022123E13</v>
      </c>
      <c r="D91" s="78" t="s">
        <v>4721</v>
      </c>
      <c r="E91" s="78" t="s">
        <v>882</v>
      </c>
      <c r="F91" s="81" t="s">
        <v>3917</v>
      </c>
      <c r="G91" s="82">
        <v>1.001185909E9</v>
      </c>
      <c r="H91" s="78" t="s">
        <v>4368</v>
      </c>
      <c r="I91" s="92" t="s">
        <v>966</v>
      </c>
      <c r="J91" s="81">
        <v>1.04955125E8</v>
      </c>
      <c r="K91" s="93">
        <v>3254100.0</v>
      </c>
      <c r="L91" s="94">
        <v>45755.0</v>
      </c>
    </row>
    <row r="92">
      <c r="A92" s="77">
        <v>468.0</v>
      </c>
      <c r="B92" s="78" t="s">
        <v>4620</v>
      </c>
      <c r="C92" s="79">
        <v>2.0251400022163E13</v>
      </c>
      <c r="D92" s="78" t="s">
        <v>4722</v>
      </c>
      <c r="E92" s="78" t="s">
        <v>1125</v>
      </c>
      <c r="F92" s="81" t="s">
        <v>3917</v>
      </c>
      <c r="G92" s="82">
        <v>1.019003737E9</v>
      </c>
      <c r="H92" s="78" t="s">
        <v>4217</v>
      </c>
      <c r="I92" s="92" t="s">
        <v>666</v>
      </c>
      <c r="J92" s="81">
        <v>1.08166625E8</v>
      </c>
      <c r="K92" s="93">
        <v>7067762.0</v>
      </c>
      <c r="L92" s="94">
        <v>45756.0</v>
      </c>
    </row>
    <row r="93">
      <c r="A93" s="77">
        <v>469.0</v>
      </c>
      <c r="B93" s="78" t="s">
        <v>4620</v>
      </c>
      <c r="C93" s="79">
        <v>2.0251530022173E13</v>
      </c>
      <c r="D93" s="78" t="s">
        <v>4723</v>
      </c>
      <c r="E93" s="78" t="s">
        <v>870</v>
      </c>
      <c r="F93" s="81" t="s">
        <v>3917</v>
      </c>
      <c r="G93" s="82">
        <v>1.019038567E9</v>
      </c>
      <c r="H93" s="78" t="s">
        <v>4331</v>
      </c>
      <c r="I93" s="92" t="s">
        <v>352</v>
      </c>
      <c r="J93" s="81">
        <v>1.04958425E8</v>
      </c>
      <c r="K93" s="93">
        <v>5780000.0</v>
      </c>
      <c r="L93" s="94">
        <v>45755.0</v>
      </c>
    </row>
    <row r="94">
      <c r="A94" s="77">
        <v>470.0</v>
      </c>
      <c r="B94" s="78" t="s">
        <v>4620</v>
      </c>
      <c r="C94" s="79">
        <v>2.0251130022183E13</v>
      </c>
      <c r="D94" s="78" t="s">
        <v>4724</v>
      </c>
      <c r="E94" s="78" t="s">
        <v>303</v>
      </c>
      <c r="F94" s="81" t="s">
        <v>3917</v>
      </c>
      <c r="G94" s="82">
        <v>5.2713391E7</v>
      </c>
      <c r="H94" s="78" t="s">
        <v>3987</v>
      </c>
      <c r="I94" s="92" t="s">
        <v>4725</v>
      </c>
      <c r="J94" s="81">
        <v>1.03871325E8</v>
      </c>
      <c r="K94" s="93">
        <v>8369700.0</v>
      </c>
      <c r="L94" s="94">
        <v>45754.0</v>
      </c>
    </row>
    <row r="95">
      <c r="A95" s="77">
        <v>471.0</v>
      </c>
      <c r="B95" s="78" t="s">
        <v>4620</v>
      </c>
      <c r="C95" s="79">
        <v>2.0251130022193E13</v>
      </c>
      <c r="D95" s="78" t="s">
        <v>4726</v>
      </c>
      <c r="E95" s="78" t="s">
        <v>391</v>
      </c>
      <c r="F95" s="81" t="s">
        <v>3917</v>
      </c>
      <c r="G95" s="82">
        <v>7.9448382E7</v>
      </c>
      <c r="H95" s="78" t="s">
        <v>4064</v>
      </c>
      <c r="I95" s="92" t="s">
        <v>4725</v>
      </c>
      <c r="J95" s="81">
        <v>1.00267525E8</v>
      </c>
      <c r="K95" s="93">
        <v>9000000.0</v>
      </c>
      <c r="L95" s="94">
        <v>45750.0</v>
      </c>
    </row>
    <row r="96">
      <c r="A96" s="77">
        <v>472.0</v>
      </c>
      <c r="B96" s="78" t="s">
        <v>4620</v>
      </c>
      <c r="C96" s="79">
        <v>2.0251140022203E13</v>
      </c>
      <c r="D96" s="78" t="s">
        <v>4727</v>
      </c>
      <c r="E96" s="78" t="s">
        <v>54</v>
      </c>
      <c r="F96" s="81" t="s">
        <v>3917</v>
      </c>
      <c r="G96" s="82">
        <v>1.082863101E9</v>
      </c>
      <c r="H96" s="78" t="s">
        <v>4208</v>
      </c>
      <c r="I96" s="92" t="s">
        <v>4209</v>
      </c>
      <c r="J96" s="81">
        <v>1.00244425E8</v>
      </c>
      <c r="K96" s="93">
        <v>6000000.0</v>
      </c>
      <c r="L96" s="94">
        <v>45750.0</v>
      </c>
    </row>
    <row r="97">
      <c r="A97" s="77">
        <v>473.0</v>
      </c>
      <c r="B97" s="78" t="s">
        <v>4620</v>
      </c>
      <c r="C97" s="79">
        <v>2.0251900022213E13</v>
      </c>
      <c r="D97" s="78" t="s">
        <v>4728</v>
      </c>
      <c r="E97" s="78" t="s">
        <v>726</v>
      </c>
      <c r="F97" s="81" t="s">
        <v>3917</v>
      </c>
      <c r="G97" s="82">
        <v>1.032379284E9</v>
      </c>
      <c r="H97" s="78" t="s">
        <v>4602</v>
      </c>
      <c r="I97" s="92" t="s">
        <v>433</v>
      </c>
      <c r="J97" s="81">
        <v>1.09771525E8</v>
      </c>
      <c r="K97" s="93">
        <v>1.3E7</v>
      </c>
      <c r="L97" s="94">
        <v>45757.0</v>
      </c>
    </row>
    <row r="98">
      <c r="A98" s="77">
        <v>474.0</v>
      </c>
      <c r="B98" s="78" t="s">
        <v>4620</v>
      </c>
      <c r="C98" s="79">
        <v>2.0251130022233E13</v>
      </c>
      <c r="D98" s="78" t="s">
        <v>4729</v>
      </c>
      <c r="E98" s="78" t="s">
        <v>270</v>
      </c>
      <c r="F98" s="81" t="s">
        <v>3917</v>
      </c>
      <c r="G98" s="82">
        <v>1.110550504E9</v>
      </c>
      <c r="H98" s="78" t="s">
        <v>4066</v>
      </c>
      <c r="I98" s="92" t="s">
        <v>274</v>
      </c>
      <c r="J98" s="81">
        <v>1.01138625E8</v>
      </c>
      <c r="K98" s="93">
        <v>5429062.0</v>
      </c>
      <c r="L98" s="94">
        <v>45751.0</v>
      </c>
    </row>
    <row r="99">
      <c r="A99" s="77">
        <v>475.0</v>
      </c>
      <c r="B99" s="78" t="s">
        <v>4620</v>
      </c>
      <c r="C99" s="79">
        <v>2.0251130022243E13</v>
      </c>
      <c r="D99" s="78" t="s">
        <v>4730</v>
      </c>
      <c r="E99" s="78" t="s">
        <v>1109</v>
      </c>
      <c r="F99" s="81" t="s">
        <v>3917</v>
      </c>
      <c r="G99" s="82">
        <v>5.3009738E7</v>
      </c>
      <c r="H99" s="78" t="s">
        <v>4474</v>
      </c>
      <c r="I99" s="92" t="s">
        <v>274</v>
      </c>
      <c r="J99" s="81">
        <v>1.00275225E8</v>
      </c>
      <c r="K99" s="93">
        <v>7564000.0</v>
      </c>
      <c r="L99" s="94">
        <v>45750.0</v>
      </c>
    </row>
    <row r="100">
      <c r="A100" s="77">
        <v>476.0</v>
      </c>
      <c r="B100" s="78" t="s">
        <v>4620</v>
      </c>
      <c r="C100" s="79">
        <v>2.0251140022283E13</v>
      </c>
      <c r="D100" s="78" t="s">
        <v>4731</v>
      </c>
      <c r="E100" s="78" t="s">
        <v>58</v>
      </c>
      <c r="F100" s="81" t="s">
        <v>3917</v>
      </c>
      <c r="G100" s="82">
        <v>1.057582613E9</v>
      </c>
      <c r="H100" s="78" t="s">
        <v>4182</v>
      </c>
      <c r="I100" s="92" t="s">
        <v>40</v>
      </c>
      <c r="J100" s="81">
        <v>1.01857025E8</v>
      </c>
      <c r="K100" s="93">
        <v>7000000.0</v>
      </c>
      <c r="L100" s="94">
        <v>45751.0</v>
      </c>
    </row>
    <row r="101">
      <c r="A101" s="77">
        <v>477.0</v>
      </c>
      <c r="B101" s="78" t="s">
        <v>4620</v>
      </c>
      <c r="C101" s="79">
        <v>2.0251500022153E13</v>
      </c>
      <c r="D101" s="78" t="s">
        <v>4732</v>
      </c>
      <c r="E101" s="78" t="s">
        <v>177</v>
      </c>
      <c r="F101" s="81" t="s">
        <v>3917</v>
      </c>
      <c r="G101" s="82">
        <v>5.3040784E7</v>
      </c>
      <c r="H101" s="78" t="s">
        <v>4058</v>
      </c>
      <c r="I101" s="92" t="s">
        <v>181</v>
      </c>
      <c r="J101" s="81">
        <v>1.01827225E8</v>
      </c>
      <c r="K101" s="93">
        <v>8911500.0</v>
      </c>
      <c r="L101" s="94">
        <v>45751.0</v>
      </c>
    </row>
    <row r="102">
      <c r="A102" s="77">
        <v>478.0</v>
      </c>
      <c r="B102" s="78" t="s">
        <v>4620</v>
      </c>
      <c r="C102" s="79">
        <v>2.0251110022313E13</v>
      </c>
      <c r="D102" s="78" t="s">
        <v>4733</v>
      </c>
      <c r="E102" s="78" t="s">
        <v>363</v>
      </c>
      <c r="F102" s="81" t="s">
        <v>3917</v>
      </c>
      <c r="G102" s="82">
        <v>5.1568567E7</v>
      </c>
      <c r="H102" s="78" t="s">
        <v>3977</v>
      </c>
      <c r="I102" s="92" t="s">
        <v>4734</v>
      </c>
      <c r="J102" s="81">
        <v>1.03991225E8</v>
      </c>
      <c r="K102" s="93">
        <v>6726760.0</v>
      </c>
      <c r="L102" s="94">
        <v>45754.0</v>
      </c>
    </row>
    <row r="103">
      <c r="A103" s="77">
        <v>479.0</v>
      </c>
      <c r="B103" s="78" t="s">
        <v>4620</v>
      </c>
      <c r="C103" s="79">
        <v>2.0251800022323E13</v>
      </c>
      <c r="D103" s="78" t="s">
        <v>4735</v>
      </c>
      <c r="E103" s="78" t="s">
        <v>448</v>
      </c>
      <c r="F103" s="81" t="s">
        <v>3917</v>
      </c>
      <c r="G103" s="82">
        <v>4.209482E7</v>
      </c>
      <c r="H103" s="78" t="s">
        <v>3961</v>
      </c>
      <c r="I103" s="92" t="s">
        <v>4333</v>
      </c>
      <c r="J103" s="81">
        <v>1.03859125E8</v>
      </c>
      <c r="K103" s="93">
        <v>8569000.0</v>
      </c>
      <c r="L103" s="94">
        <v>45754.0</v>
      </c>
    </row>
    <row r="104">
      <c r="A104" s="77">
        <v>480.0</v>
      </c>
      <c r="B104" s="78" t="s">
        <v>4620</v>
      </c>
      <c r="C104" s="79">
        <v>2.0251110022343E13</v>
      </c>
      <c r="D104" s="78" t="s">
        <v>4736</v>
      </c>
      <c r="E104" s="78" t="s">
        <v>2598</v>
      </c>
      <c r="F104" s="81" t="s">
        <v>4127</v>
      </c>
      <c r="G104" s="82">
        <v>9.01244985E8</v>
      </c>
      <c r="H104" s="78" t="s">
        <v>4170</v>
      </c>
      <c r="I104" s="92" t="s">
        <v>4734</v>
      </c>
      <c r="J104" s="81">
        <v>1.04966425E8</v>
      </c>
      <c r="K104" s="93">
        <v>1.0486362E7</v>
      </c>
      <c r="L104" s="94">
        <v>45755.0</v>
      </c>
    </row>
    <row r="105">
      <c r="A105" s="77">
        <v>481.0</v>
      </c>
      <c r="B105" s="78" t="s">
        <v>4620</v>
      </c>
      <c r="C105" s="79">
        <v>2.0251510022353E13</v>
      </c>
      <c r="D105" s="78" t="s">
        <v>4737</v>
      </c>
      <c r="E105" s="78" t="s">
        <v>690</v>
      </c>
      <c r="F105" s="81" t="s">
        <v>3917</v>
      </c>
      <c r="G105" s="82">
        <v>1.072714553E9</v>
      </c>
      <c r="H105" s="78" t="s">
        <v>4381</v>
      </c>
      <c r="I105" s="92" t="s">
        <v>4315</v>
      </c>
      <c r="J105" s="81">
        <v>1.03890825E8</v>
      </c>
      <c r="K105" s="93">
        <v>7896600.0</v>
      </c>
      <c r="L105" s="94">
        <v>45754.0</v>
      </c>
    </row>
    <row r="106">
      <c r="A106" s="77">
        <v>482.0</v>
      </c>
      <c r="B106" s="78" t="s">
        <v>4620</v>
      </c>
      <c r="C106" s="79">
        <v>2.0251510022373E13</v>
      </c>
      <c r="D106" s="78" t="s">
        <v>4738</v>
      </c>
      <c r="E106" s="78" t="s">
        <v>865</v>
      </c>
      <c r="F106" s="81" t="s">
        <v>3917</v>
      </c>
      <c r="G106" s="82">
        <v>8.085303E7</v>
      </c>
      <c r="H106" s="78" t="s">
        <v>4274</v>
      </c>
      <c r="I106" s="92" t="s">
        <v>4275</v>
      </c>
      <c r="J106" s="81">
        <v>1.03981225E8</v>
      </c>
      <c r="K106" s="93">
        <v>7896600.0</v>
      </c>
      <c r="L106" s="94">
        <v>45754.0</v>
      </c>
    </row>
    <row r="107">
      <c r="A107" s="77">
        <v>483.0</v>
      </c>
      <c r="B107" s="78" t="s">
        <v>4620</v>
      </c>
      <c r="C107" s="79">
        <v>2.0251900022383E13</v>
      </c>
      <c r="D107" s="78" t="s">
        <v>4739</v>
      </c>
      <c r="E107" s="78" t="s">
        <v>243</v>
      </c>
      <c r="F107" s="81" t="s">
        <v>3917</v>
      </c>
      <c r="G107" s="82">
        <v>2.8061081E7</v>
      </c>
      <c r="H107" s="78" t="s">
        <v>4164</v>
      </c>
      <c r="I107" s="92" t="s">
        <v>222</v>
      </c>
      <c r="J107" s="81">
        <v>1.03879125E8</v>
      </c>
      <c r="K107" s="93">
        <v>1.273908E7</v>
      </c>
      <c r="L107" s="94">
        <v>45754.0</v>
      </c>
    </row>
    <row r="108">
      <c r="A108" s="77">
        <v>484.0</v>
      </c>
      <c r="B108" s="78" t="s">
        <v>4620</v>
      </c>
      <c r="C108" s="79">
        <v>2.0251530022393E13</v>
      </c>
      <c r="D108" s="78" t="s">
        <v>4740</v>
      </c>
      <c r="E108" s="78" t="s">
        <v>890</v>
      </c>
      <c r="F108" s="81" t="s">
        <v>3917</v>
      </c>
      <c r="G108" s="82">
        <v>1.010198057E9</v>
      </c>
      <c r="H108" s="78" t="s">
        <v>4376</v>
      </c>
      <c r="I108" s="92" t="s">
        <v>973</v>
      </c>
      <c r="J108" s="81">
        <v>1.03990525E8</v>
      </c>
      <c r="K108" s="93">
        <v>6346000.0</v>
      </c>
      <c r="L108" s="94">
        <v>45754.0</v>
      </c>
    </row>
    <row r="109">
      <c r="A109" s="77">
        <v>485.0</v>
      </c>
      <c r="B109" s="78" t="s">
        <v>4620</v>
      </c>
      <c r="C109" s="79">
        <v>2.0251000021543E13</v>
      </c>
      <c r="D109" s="78" t="s">
        <v>4741</v>
      </c>
      <c r="E109" s="78" t="s">
        <v>2866</v>
      </c>
      <c r="F109" s="81" t="s">
        <v>3917</v>
      </c>
      <c r="G109" s="82">
        <v>1.020751785E9</v>
      </c>
      <c r="H109" s="78" t="s">
        <v>4150</v>
      </c>
      <c r="I109" s="92" t="s">
        <v>657</v>
      </c>
      <c r="J109" s="81">
        <v>1.03876525E8</v>
      </c>
      <c r="K109" s="93">
        <v>6000000.0</v>
      </c>
      <c r="L109" s="94">
        <v>45754.0</v>
      </c>
    </row>
    <row r="110">
      <c r="A110" s="77">
        <v>486.0</v>
      </c>
      <c r="B110" s="78" t="s">
        <v>4620</v>
      </c>
      <c r="C110" s="79">
        <v>2.0251610022013E13</v>
      </c>
      <c r="D110" s="78" t="s">
        <v>4742</v>
      </c>
      <c r="E110" s="78" t="s">
        <v>212</v>
      </c>
      <c r="F110" s="81" t="s">
        <v>3917</v>
      </c>
      <c r="G110" s="82">
        <v>1.193447899E9</v>
      </c>
      <c r="H110" s="78" t="s">
        <v>4026</v>
      </c>
      <c r="I110" s="92" t="s">
        <v>217</v>
      </c>
      <c r="J110" s="81">
        <v>1.10966625E8</v>
      </c>
      <c r="K110" s="93">
        <v>3285450.0</v>
      </c>
      <c r="L110" s="94">
        <v>45758.0</v>
      </c>
    </row>
    <row r="111">
      <c r="A111" s="77">
        <v>487.0</v>
      </c>
      <c r="B111" s="78" t="s">
        <v>4620</v>
      </c>
      <c r="C111" s="79">
        <v>2.0251610022023E13</v>
      </c>
      <c r="D111" s="78" t="s">
        <v>4743</v>
      </c>
      <c r="E111" s="78" t="s">
        <v>1045</v>
      </c>
      <c r="F111" s="81" t="s">
        <v>3917</v>
      </c>
      <c r="G111" s="82">
        <v>1.007387735E9</v>
      </c>
      <c r="H111" s="78" t="s">
        <v>4407</v>
      </c>
      <c r="I111" s="92" t="s">
        <v>217</v>
      </c>
      <c r="J111" s="81">
        <v>1.10967325E8</v>
      </c>
      <c r="K111" s="93">
        <v>3285450.0</v>
      </c>
      <c r="L111" s="94">
        <v>45758.0</v>
      </c>
    </row>
    <row r="112">
      <c r="A112" s="77">
        <v>488.0</v>
      </c>
      <c r="B112" s="78" t="s">
        <v>4620</v>
      </c>
      <c r="C112" s="79">
        <v>2.0251610022033E13</v>
      </c>
      <c r="D112" s="78" t="s">
        <v>4744</v>
      </c>
      <c r="E112" s="78" t="s">
        <v>1088</v>
      </c>
      <c r="F112" s="81" t="s">
        <v>3917</v>
      </c>
      <c r="G112" s="82">
        <v>1.01850558E9</v>
      </c>
      <c r="H112" s="78" t="s">
        <v>4422</v>
      </c>
      <c r="I112" s="92" t="s">
        <v>217</v>
      </c>
      <c r="J112" s="81">
        <v>1.10994125E8</v>
      </c>
      <c r="K112" s="93">
        <v>3630900.0</v>
      </c>
      <c r="L112" s="94">
        <v>45758.0</v>
      </c>
    </row>
    <row r="113">
      <c r="A113" s="77">
        <v>489.0</v>
      </c>
      <c r="B113" s="78" t="s">
        <v>4620</v>
      </c>
      <c r="C113" s="79">
        <v>2.0251610022043E13</v>
      </c>
      <c r="D113" s="78" t="s">
        <v>4745</v>
      </c>
      <c r="E113" s="78" t="s">
        <v>677</v>
      </c>
      <c r="F113" s="81" t="s">
        <v>3917</v>
      </c>
      <c r="G113" s="82">
        <v>1.098822094E9</v>
      </c>
      <c r="H113" s="78" t="s">
        <v>4420</v>
      </c>
      <c r="I113" s="92" t="s">
        <v>217</v>
      </c>
      <c r="J113" s="81">
        <v>1.11001225E8</v>
      </c>
      <c r="K113" s="93">
        <v>3285450.0</v>
      </c>
      <c r="L113" s="94">
        <v>45758.0</v>
      </c>
    </row>
    <row r="114">
      <c r="A114" s="77">
        <v>490.0</v>
      </c>
      <c r="B114" s="78" t="s">
        <v>4620</v>
      </c>
      <c r="C114" s="79">
        <v>2.0251000021603E13</v>
      </c>
      <c r="D114" s="78" t="s">
        <v>4746</v>
      </c>
      <c r="E114" s="78" t="s">
        <v>785</v>
      </c>
      <c r="F114" s="81" t="s">
        <v>3917</v>
      </c>
      <c r="G114" s="82">
        <v>1.007688013E9</v>
      </c>
      <c r="H114" s="78" t="s">
        <v>4365</v>
      </c>
      <c r="I114" s="92" t="s">
        <v>410</v>
      </c>
      <c r="J114" s="81">
        <v>1.01146925E8</v>
      </c>
      <c r="K114" s="93">
        <v>3450000.0</v>
      </c>
      <c r="L114" s="94">
        <v>45751.0</v>
      </c>
    </row>
    <row r="115">
      <c r="A115" s="77">
        <v>491.0</v>
      </c>
      <c r="B115" s="78" t="s">
        <v>4620</v>
      </c>
      <c r="C115" s="79">
        <v>2.0251800022493E13</v>
      </c>
      <c r="D115" s="78" t="s">
        <v>4747</v>
      </c>
      <c r="E115" s="78" t="s">
        <v>2777</v>
      </c>
      <c r="F115" s="81" t="s">
        <v>3917</v>
      </c>
      <c r="G115" s="82">
        <v>1.073384272E9</v>
      </c>
      <c r="H115" s="78" t="s">
        <v>4054</v>
      </c>
      <c r="I115" s="92" t="s">
        <v>4312</v>
      </c>
      <c r="J115" s="81">
        <v>1.01481125E8</v>
      </c>
      <c r="K115" s="93">
        <v>5473000.0</v>
      </c>
      <c r="L115" s="94">
        <v>45751.0</v>
      </c>
    </row>
    <row r="116">
      <c r="A116" s="77">
        <v>492.0</v>
      </c>
      <c r="B116" s="78" t="s">
        <v>4620</v>
      </c>
      <c r="C116" s="79">
        <v>2.0251100022593E13</v>
      </c>
      <c r="D116" s="78" t="s">
        <v>4748</v>
      </c>
      <c r="E116" s="78" t="s">
        <v>43</v>
      </c>
      <c r="F116" s="81" t="s">
        <v>3917</v>
      </c>
      <c r="G116" s="82">
        <v>3.7279138E7</v>
      </c>
      <c r="H116" s="78" t="s">
        <v>3983</v>
      </c>
      <c r="I116" s="92" t="s">
        <v>2039</v>
      </c>
      <c r="J116" s="81">
        <v>1.01507825E8</v>
      </c>
      <c r="K116" s="93">
        <v>1.1E7</v>
      </c>
      <c r="L116" s="94">
        <v>45751.0</v>
      </c>
    </row>
    <row r="117">
      <c r="A117" s="77">
        <v>493.0</v>
      </c>
      <c r="B117" s="78" t="s">
        <v>4620</v>
      </c>
      <c r="C117" s="79">
        <v>2.0251700022633E13</v>
      </c>
      <c r="D117" s="78" t="s">
        <v>4749</v>
      </c>
      <c r="E117" s="78" t="s">
        <v>385</v>
      </c>
      <c r="F117" s="81" t="s">
        <v>3917</v>
      </c>
      <c r="G117" s="82">
        <v>1.018487193E9</v>
      </c>
      <c r="H117" s="78" t="s">
        <v>4135</v>
      </c>
      <c r="I117" s="92" t="s">
        <v>4378</v>
      </c>
      <c r="J117" s="81">
        <v>1.01477325E8</v>
      </c>
      <c r="K117" s="93">
        <v>1.04181E7</v>
      </c>
      <c r="L117" s="94">
        <v>45751.0</v>
      </c>
    </row>
    <row r="118">
      <c r="A118" s="77">
        <v>494.0</v>
      </c>
      <c r="B118" s="78" t="s">
        <v>4620</v>
      </c>
      <c r="C118" s="79">
        <v>2.0251700022643E13</v>
      </c>
      <c r="D118" s="78" t="s">
        <v>4750</v>
      </c>
      <c r="E118" s="78" t="s">
        <v>1025</v>
      </c>
      <c r="F118" s="81" t="s">
        <v>3917</v>
      </c>
      <c r="G118" s="98">
        <v>1.018481914E9</v>
      </c>
      <c r="H118" s="78" t="s">
        <v>4350</v>
      </c>
      <c r="I118" s="92" t="s">
        <v>4351</v>
      </c>
      <c r="J118" s="81">
        <v>1.03877825E8</v>
      </c>
      <c r="K118" s="93">
        <v>5746650.0</v>
      </c>
      <c r="L118" s="94">
        <v>45754.0</v>
      </c>
    </row>
    <row r="119">
      <c r="A119" s="77">
        <v>495.0</v>
      </c>
      <c r="B119" s="78" t="s">
        <v>4620</v>
      </c>
      <c r="C119" s="104">
        <v>2.0251020022553E13</v>
      </c>
      <c r="D119" s="78" t="s">
        <v>4384</v>
      </c>
      <c r="E119" s="78" t="s">
        <v>4385</v>
      </c>
      <c r="F119" s="81" t="s">
        <v>3917</v>
      </c>
      <c r="G119" s="82">
        <v>1.024476225E9</v>
      </c>
      <c r="H119" s="78" t="s">
        <v>4386</v>
      </c>
      <c r="I119" s="92" t="s">
        <v>4295</v>
      </c>
      <c r="J119" s="81">
        <v>1.13863025E8</v>
      </c>
      <c r="K119" s="93">
        <v>3996300.0</v>
      </c>
      <c r="L119" s="94">
        <v>45762.0</v>
      </c>
    </row>
    <row r="120">
      <c r="A120" s="77">
        <v>496.0</v>
      </c>
      <c r="B120" s="78" t="s">
        <v>4620</v>
      </c>
      <c r="C120" s="79">
        <v>2.0251020022573E13</v>
      </c>
      <c r="D120" s="78" t="s">
        <v>4751</v>
      </c>
      <c r="E120" s="78" t="s">
        <v>2764</v>
      </c>
      <c r="F120" s="81" t="s">
        <v>3917</v>
      </c>
      <c r="G120" s="82">
        <v>1.095809712E9</v>
      </c>
      <c r="H120" s="78" t="s">
        <v>4098</v>
      </c>
      <c r="I120" s="92" t="s">
        <v>4690</v>
      </c>
      <c r="J120" s="81">
        <v>1.13878225E8</v>
      </c>
      <c r="K120" s="93">
        <v>1810000.0</v>
      </c>
      <c r="L120" s="94">
        <v>45762.0</v>
      </c>
    </row>
    <row r="121">
      <c r="A121" s="77">
        <v>497.0</v>
      </c>
      <c r="B121" s="78" t="s">
        <v>4620</v>
      </c>
      <c r="C121" s="79">
        <v>2.0251120022653E13</v>
      </c>
      <c r="D121" s="78" t="s">
        <v>4752</v>
      </c>
      <c r="E121" s="78" t="s">
        <v>231</v>
      </c>
      <c r="F121" s="81" t="s">
        <v>3917</v>
      </c>
      <c r="G121" s="82">
        <v>5.246763E7</v>
      </c>
      <c r="H121" s="78" t="s">
        <v>3940</v>
      </c>
      <c r="I121" s="92" t="s">
        <v>235</v>
      </c>
      <c r="J121" s="81">
        <v>1.11003725E8</v>
      </c>
      <c r="K121" s="93">
        <v>3192280.0</v>
      </c>
      <c r="L121" s="94">
        <v>45758.0</v>
      </c>
    </row>
    <row r="122">
      <c r="A122" s="77">
        <v>498.0</v>
      </c>
      <c r="B122" s="78" t="s">
        <v>4620</v>
      </c>
      <c r="C122" s="79">
        <v>2.0251020022613E13</v>
      </c>
      <c r="D122" s="78" t="s">
        <v>4753</v>
      </c>
      <c r="E122" s="78" t="s">
        <v>2764</v>
      </c>
      <c r="F122" s="81" t="s">
        <v>3917</v>
      </c>
      <c r="G122" s="82">
        <v>8.0229481E7</v>
      </c>
      <c r="H122" s="78" t="s">
        <v>4754</v>
      </c>
      <c r="I122" s="92" t="s">
        <v>4690</v>
      </c>
      <c r="J122" s="81">
        <v>1.13840225E8</v>
      </c>
      <c r="K122" s="93">
        <v>2715000.0</v>
      </c>
      <c r="L122" s="94">
        <v>45762.0</v>
      </c>
    </row>
    <row r="123">
      <c r="A123" s="77">
        <v>499.0</v>
      </c>
      <c r="B123" s="78" t="s">
        <v>4620</v>
      </c>
      <c r="C123" s="79">
        <v>2.0251610022463E13</v>
      </c>
      <c r="D123" s="78" t="s">
        <v>4755</v>
      </c>
      <c r="E123" s="78" t="s">
        <v>758</v>
      </c>
      <c r="F123" s="81" t="s">
        <v>3917</v>
      </c>
      <c r="G123" s="82">
        <v>1.026592381E9</v>
      </c>
      <c r="H123" s="78" t="s">
        <v>4272</v>
      </c>
      <c r="I123" s="92" t="s">
        <v>405</v>
      </c>
      <c r="J123" s="81">
        <v>1.11039025E8</v>
      </c>
      <c r="K123" s="93">
        <v>3285450.0</v>
      </c>
      <c r="L123" s="94">
        <v>45758.0</v>
      </c>
    </row>
    <row r="124">
      <c r="A124" s="77">
        <v>500.0</v>
      </c>
      <c r="B124" s="78" t="s">
        <v>4620</v>
      </c>
      <c r="C124" s="79">
        <v>2.0251610022453E13</v>
      </c>
      <c r="D124" s="78" t="s">
        <v>4756</v>
      </c>
      <c r="E124" s="78" t="s">
        <v>290</v>
      </c>
      <c r="F124" s="81" t="s">
        <v>3917</v>
      </c>
      <c r="G124" s="82">
        <v>1.014183131E9</v>
      </c>
      <c r="H124" s="78" t="s">
        <v>4102</v>
      </c>
      <c r="I124" s="92" t="s">
        <v>405</v>
      </c>
      <c r="J124" s="81">
        <v>1.11008925E8</v>
      </c>
      <c r="K124" s="93">
        <v>7942200.0</v>
      </c>
      <c r="L124" s="94">
        <v>45758.0</v>
      </c>
    </row>
    <row r="125">
      <c r="A125" s="77">
        <v>501.0</v>
      </c>
      <c r="B125" s="78" t="s">
        <v>4620</v>
      </c>
      <c r="C125" s="79">
        <v>2.0251610022443E13</v>
      </c>
      <c r="D125" s="78" t="s">
        <v>4757</v>
      </c>
      <c r="E125" s="78" t="s">
        <v>740</v>
      </c>
      <c r="F125" s="81" t="s">
        <v>3917</v>
      </c>
      <c r="G125" s="82">
        <v>1.193095704E9</v>
      </c>
      <c r="H125" s="78" t="s">
        <v>4307</v>
      </c>
      <c r="I125" s="92" t="s">
        <v>405</v>
      </c>
      <c r="J125" s="81">
        <v>1.11010925E8</v>
      </c>
      <c r="K125" s="93">
        <v>3285450.0</v>
      </c>
      <c r="L125" s="94">
        <v>45758.0</v>
      </c>
    </row>
    <row r="126">
      <c r="A126" s="77">
        <v>502.0</v>
      </c>
      <c r="B126" s="78" t="s">
        <v>4620</v>
      </c>
      <c r="C126" s="79">
        <v>2.0251900021693E13</v>
      </c>
      <c r="D126" s="78" t="s">
        <v>4758</v>
      </c>
      <c r="E126" s="78" t="s">
        <v>547</v>
      </c>
      <c r="F126" s="81" t="s">
        <v>3917</v>
      </c>
      <c r="G126" s="82">
        <v>2.6203478E7</v>
      </c>
      <c r="H126" s="78" t="s">
        <v>3995</v>
      </c>
      <c r="I126" s="92" t="s">
        <v>551</v>
      </c>
      <c r="J126" s="81">
        <v>1.05014525E8</v>
      </c>
      <c r="K126" s="93">
        <v>4000000.0</v>
      </c>
      <c r="L126" s="94">
        <v>45755.0</v>
      </c>
    </row>
    <row r="127">
      <c r="A127" s="77">
        <v>503.0</v>
      </c>
      <c r="B127" s="78" t="s">
        <v>4620</v>
      </c>
      <c r="C127" s="79">
        <v>2.0251610022473E13</v>
      </c>
      <c r="D127" s="78" t="s">
        <v>4759</v>
      </c>
      <c r="E127" s="78" t="s">
        <v>309</v>
      </c>
      <c r="F127" s="81" t="s">
        <v>3917</v>
      </c>
      <c r="G127" s="82">
        <v>1.08829271E9</v>
      </c>
      <c r="H127" s="78" t="s">
        <v>4077</v>
      </c>
      <c r="I127" s="92" t="s">
        <v>294</v>
      </c>
      <c r="J127" s="81">
        <v>1.03875725E8</v>
      </c>
      <c r="K127" s="93">
        <v>8353800.0</v>
      </c>
      <c r="L127" s="94">
        <v>45754.0</v>
      </c>
    </row>
    <row r="128">
      <c r="A128" s="77">
        <v>504.0</v>
      </c>
      <c r="B128" s="78" t="s">
        <v>4620</v>
      </c>
      <c r="C128" s="79">
        <v>2.0251110022603E13</v>
      </c>
      <c r="D128" s="78" t="s">
        <v>4760</v>
      </c>
      <c r="E128" s="78" t="s">
        <v>515</v>
      </c>
      <c r="F128" s="81" t="s">
        <v>3917</v>
      </c>
      <c r="G128" s="82">
        <v>5.2045839E7</v>
      </c>
      <c r="H128" s="78" t="s">
        <v>3969</v>
      </c>
      <c r="I128" s="92" t="s">
        <v>146</v>
      </c>
      <c r="J128" s="81">
        <v>1.05022325E8</v>
      </c>
      <c r="K128" s="93">
        <v>8017840.0</v>
      </c>
      <c r="L128" s="94">
        <v>45755.0</v>
      </c>
    </row>
    <row r="129">
      <c r="A129" s="77">
        <v>505.0</v>
      </c>
      <c r="B129" s="78" t="s">
        <v>4620</v>
      </c>
      <c r="C129" s="79">
        <v>2.0251530022683E13</v>
      </c>
      <c r="D129" s="78" t="s">
        <v>4761</v>
      </c>
      <c r="E129" s="78" t="s">
        <v>843</v>
      </c>
      <c r="F129" s="81" t="s">
        <v>3917</v>
      </c>
      <c r="G129" s="82">
        <v>1.088300611E9</v>
      </c>
      <c r="H129" s="78" t="s">
        <v>4432</v>
      </c>
      <c r="I129" s="92" t="s">
        <v>4433</v>
      </c>
      <c r="J129" s="81">
        <v>1.03991625E8</v>
      </c>
      <c r="K129" s="93">
        <v>7296600.0</v>
      </c>
      <c r="L129" s="94">
        <v>45754.0</v>
      </c>
    </row>
    <row r="130">
      <c r="A130" s="77">
        <v>506.0</v>
      </c>
      <c r="B130" s="78" t="s">
        <v>4620</v>
      </c>
      <c r="C130" s="79">
        <v>2.0251500022703E13</v>
      </c>
      <c r="D130" s="78" t="s">
        <v>4762</v>
      </c>
      <c r="E130" s="78" t="s">
        <v>183</v>
      </c>
      <c r="F130" s="81" t="s">
        <v>3917</v>
      </c>
      <c r="G130" s="82">
        <v>1.024471867E9</v>
      </c>
      <c r="H130" s="78" t="s">
        <v>4089</v>
      </c>
      <c r="I130" s="92" t="s">
        <v>181</v>
      </c>
      <c r="J130" s="81">
        <v>1.03894625E8</v>
      </c>
      <c r="K130" s="93">
        <v>8911500.0</v>
      </c>
      <c r="L130" s="94">
        <v>45754.0</v>
      </c>
    </row>
    <row r="131">
      <c r="A131" s="77">
        <v>507.0</v>
      </c>
      <c r="B131" s="78" t="s">
        <v>4620</v>
      </c>
      <c r="C131" s="104">
        <v>2.0251610022513E13</v>
      </c>
      <c r="D131" s="78" t="s">
        <v>4763</v>
      </c>
      <c r="E131" s="78" t="s">
        <v>649</v>
      </c>
      <c r="F131" s="81" t="s">
        <v>3917</v>
      </c>
      <c r="G131" s="82">
        <v>1.016068292E9</v>
      </c>
      <c r="H131" s="78" t="s">
        <v>4566</v>
      </c>
      <c r="I131" s="92" t="s">
        <v>4360</v>
      </c>
      <c r="J131" s="81">
        <v>1.11052225E8</v>
      </c>
      <c r="K131" s="93">
        <v>8650000.0</v>
      </c>
      <c r="L131" s="94">
        <v>45758.0</v>
      </c>
    </row>
    <row r="132">
      <c r="A132" s="77">
        <v>508.0</v>
      </c>
      <c r="B132" s="78" t="s">
        <v>4620</v>
      </c>
      <c r="C132" s="79">
        <v>2.0251610022523E13</v>
      </c>
      <c r="D132" s="78" t="s">
        <v>4764</v>
      </c>
      <c r="E132" s="78" t="s">
        <v>159</v>
      </c>
      <c r="F132" s="81" t="s">
        <v>3917</v>
      </c>
      <c r="G132" s="82">
        <v>1.018456896E9</v>
      </c>
      <c r="H132" s="78" t="s">
        <v>4050</v>
      </c>
      <c r="I132" s="92" t="s">
        <v>4360</v>
      </c>
      <c r="J132" s="81">
        <v>1.11029625E8</v>
      </c>
      <c r="K132" s="93">
        <v>8650000.0</v>
      </c>
      <c r="L132" s="94">
        <v>45758.0</v>
      </c>
    </row>
    <row r="133">
      <c r="A133" s="77">
        <v>511.0</v>
      </c>
      <c r="B133" s="78" t="s">
        <v>4620</v>
      </c>
      <c r="C133" s="79">
        <v>2.0251510022753E13</v>
      </c>
      <c r="D133" s="78" t="s">
        <v>4765</v>
      </c>
      <c r="E133" s="78" t="s">
        <v>4280</v>
      </c>
      <c r="F133" s="81" t="s">
        <v>3917</v>
      </c>
      <c r="G133" s="82">
        <v>1.030634155E9</v>
      </c>
      <c r="H133" s="78" t="s">
        <v>4281</v>
      </c>
      <c r="I133" s="92" t="s">
        <v>4275</v>
      </c>
      <c r="J133" s="81">
        <v>1.03883525E8</v>
      </c>
      <c r="K133" s="93">
        <v>7896600.0</v>
      </c>
      <c r="L133" s="94">
        <v>45754.0</v>
      </c>
    </row>
    <row r="134">
      <c r="A134" s="77">
        <v>512.0</v>
      </c>
      <c r="B134" s="78" t="s">
        <v>4620</v>
      </c>
      <c r="C134" s="79">
        <v>2.0251000022813E13</v>
      </c>
      <c r="D134" s="78" t="s">
        <v>4766</v>
      </c>
      <c r="E134" s="78" t="s">
        <v>4068</v>
      </c>
      <c r="F134" s="81" t="s">
        <v>3917</v>
      </c>
      <c r="G134" s="82">
        <v>1.037608001E9</v>
      </c>
      <c r="H134" s="78" t="s">
        <v>4069</v>
      </c>
      <c r="I134" s="92" t="s">
        <v>2663</v>
      </c>
      <c r="J134" s="81">
        <v>1.04968425E8</v>
      </c>
      <c r="K134" s="93">
        <v>7400000.0</v>
      </c>
      <c r="L134" s="94">
        <v>45755.0</v>
      </c>
    </row>
    <row r="135">
      <c r="A135" s="77">
        <v>513.0</v>
      </c>
      <c r="B135" s="78" t="s">
        <v>4620</v>
      </c>
      <c r="C135" s="79">
        <v>2.0251700022843E13</v>
      </c>
      <c r="D135" s="78" t="s">
        <v>4767</v>
      </c>
      <c r="E135" s="78" t="s">
        <v>1065</v>
      </c>
      <c r="F135" s="81" t="s">
        <v>3917</v>
      </c>
      <c r="G135" s="82">
        <v>1.128431532E9</v>
      </c>
      <c r="H135" s="78" t="s">
        <v>4374</v>
      </c>
      <c r="I135" s="92" t="s">
        <v>4372</v>
      </c>
      <c r="J135" s="81">
        <v>1.05659725E8</v>
      </c>
      <c r="K135" s="93">
        <v>7500000.0</v>
      </c>
      <c r="L135" s="94">
        <v>45755.0</v>
      </c>
    </row>
    <row r="136">
      <c r="A136" s="77">
        <v>514.0</v>
      </c>
      <c r="B136" s="78" t="s">
        <v>4620</v>
      </c>
      <c r="C136" s="79">
        <v>2.0251000022853E13</v>
      </c>
      <c r="D136" s="78" t="s">
        <v>4768</v>
      </c>
      <c r="E136" s="106" t="s">
        <v>1084</v>
      </c>
      <c r="F136" s="81" t="s">
        <v>3917</v>
      </c>
      <c r="G136" s="82">
        <v>1.049646618E9</v>
      </c>
      <c r="H136" s="78" t="s">
        <v>4528</v>
      </c>
      <c r="I136" s="92" t="s">
        <v>2663</v>
      </c>
      <c r="J136" s="81">
        <v>1.03996325E8</v>
      </c>
      <c r="K136" s="93">
        <v>6250000.0</v>
      </c>
      <c r="L136" s="94">
        <v>45754.0</v>
      </c>
    </row>
    <row r="137">
      <c r="A137" s="77">
        <v>515.0</v>
      </c>
      <c r="B137" s="78" t="s">
        <v>4620</v>
      </c>
      <c r="C137" s="79">
        <v>2.0251000022873E13</v>
      </c>
      <c r="D137" s="78" t="s">
        <v>4769</v>
      </c>
      <c r="E137" s="106" t="s">
        <v>1096</v>
      </c>
      <c r="F137" s="81" t="s">
        <v>3917</v>
      </c>
      <c r="G137" s="82">
        <v>5.3176483E7</v>
      </c>
      <c r="H137" s="78" t="s">
        <v>4513</v>
      </c>
      <c r="I137" s="92" t="s">
        <v>2663</v>
      </c>
      <c r="J137" s="81">
        <v>1.08170125E8</v>
      </c>
      <c r="K137" s="93">
        <v>7000000.0</v>
      </c>
      <c r="L137" s="94">
        <v>45756.0</v>
      </c>
    </row>
    <row r="138">
      <c r="A138" s="77">
        <v>516.0</v>
      </c>
      <c r="B138" s="78" t="s">
        <v>4620</v>
      </c>
      <c r="C138" s="79">
        <v>2.0251140022913E13</v>
      </c>
      <c r="D138" s="78" t="s">
        <v>4770</v>
      </c>
      <c r="E138" s="78" t="s">
        <v>49</v>
      </c>
      <c r="F138" s="81" t="s">
        <v>3917</v>
      </c>
      <c r="G138" s="82">
        <v>1.053821048E9</v>
      </c>
      <c r="H138" s="78" t="s">
        <v>4081</v>
      </c>
      <c r="I138" s="92" t="s">
        <v>4209</v>
      </c>
      <c r="J138" s="81">
        <v>1.01499525E8</v>
      </c>
      <c r="K138" s="93">
        <v>4787000.0</v>
      </c>
      <c r="L138" s="94">
        <v>45751.0</v>
      </c>
    </row>
    <row r="139">
      <c r="A139" s="77">
        <v>517.0</v>
      </c>
      <c r="B139" s="78" t="s">
        <v>4620</v>
      </c>
      <c r="C139" s="79">
        <v>2.0251020022933E13</v>
      </c>
      <c r="D139" s="78" t="s">
        <v>4771</v>
      </c>
      <c r="E139" s="78" t="s">
        <v>718</v>
      </c>
      <c r="F139" s="81" t="s">
        <v>3917</v>
      </c>
      <c r="G139" s="82">
        <v>5.530598E7</v>
      </c>
      <c r="H139" s="78" t="s">
        <v>4511</v>
      </c>
      <c r="I139" s="92" t="s">
        <v>4703</v>
      </c>
      <c r="J139" s="81">
        <v>1.01934225E8</v>
      </c>
      <c r="K139" s="93">
        <v>7500000.0</v>
      </c>
      <c r="L139" s="94">
        <v>45751.0</v>
      </c>
    </row>
    <row r="140">
      <c r="A140" s="77">
        <v>518.0</v>
      </c>
      <c r="B140" s="78" t="s">
        <v>4620</v>
      </c>
      <c r="C140" s="79">
        <v>2.0251500022783E13</v>
      </c>
      <c r="D140" s="78" t="s">
        <v>4478</v>
      </c>
      <c r="E140" s="78" t="s">
        <v>839</v>
      </c>
      <c r="F140" s="81" t="s">
        <v>3917</v>
      </c>
      <c r="G140" s="82">
        <v>1.030610778E9</v>
      </c>
      <c r="H140" s="78" t="s">
        <v>4479</v>
      </c>
      <c r="I140" s="92" t="s">
        <v>4443</v>
      </c>
      <c r="J140" s="81">
        <v>1.03975725E8</v>
      </c>
      <c r="K140" s="93">
        <v>7296600.0</v>
      </c>
      <c r="L140" s="94">
        <v>45754.0</v>
      </c>
    </row>
    <row r="141">
      <c r="A141" s="77">
        <v>519.0</v>
      </c>
      <c r="B141" s="78" t="s">
        <v>4620</v>
      </c>
      <c r="C141" s="79">
        <v>2.0251500022773E13</v>
      </c>
      <c r="D141" s="78" t="s">
        <v>4772</v>
      </c>
      <c r="E141" s="107" t="s">
        <v>853</v>
      </c>
      <c r="F141" s="77" t="s">
        <v>3917</v>
      </c>
      <c r="G141" s="82">
        <v>1.022995967E9</v>
      </c>
      <c r="H141" s="78" t="s">
        <v>4483</v>
      </c>
      <c r="I141" s="92" t="s">
        <v>4443</v>
      </c>
      <c r="J141" s="81">
        <v>1.03895325E8</v>
      </c>
      <c r="K141" s="93">
        <v>4546800.0</v>
      </c>
      <c r="L141" s="94">
        <v>45754.0</v>
      </c>
    </row>
    <row r="142">
      <c r="A142" s="77">
        <v>520.0</v>
      </c>
      <c r="B142" s="78" t="s">
        <v>4620</v>
      </c>
      <c r="C142" s="79">
        <v>2.0251500022763E13</v>
      </c>
      <c r="D142" s="78" t="s">
        <v>4480</v>
      </c>
      <c r="E142" s="105" t="s">
        <v>879</v>
      </c>
      <c r="F142" s="81" t="s">
        <v>3917</v>
      </c>
      <c r="G142" s="82">
        <v>1.010210361E9</v>
      </c>
      <c r="H142" s="78" t="s">
        <v>4481</v>
      </c>
      <c r="I142" s="92" t="s">
        <v>4443</v>
      </c>
      <c r="J142" s="81">
        <v>1.03901825E8</v>
      </c>
      <c r="K142" s="93">
        <v>6167200.0</v>
      </c>
      <c r="L142" s="94">
        <v>45754.0</v>
      </c>
    </row>
    <row r="143">
      <c r="A143" s="77">
        <v>521.0</v>
      </c>
      <c r="B143" s="78" t="s">
        <v>4620</v>
      </c>
      <c r="C143" s="79">
        <v>2.0251500022803E13</v>
      </c>
      <c r="D143" s="78" t="s">
        <v>4773</v>
      </c>
      <c r="E143" s="78" t="s">
        <v>4445</v>
      </c>
      <c r="F143" s="81" t="s">
        <v>3917</v>
      </c>
      <c r="G143" s="82">
        <v>1.055272277E9</v>
      </c>
      <c r="H143" s="78" t="s">
        <v>4446</v>
      </c>
      <c r="I143" s="92" t="s">
        <v>4443</v>
      </c>
      <c r="J143" s="81">
        <v>1.03986425E8</v>
      </c>
      <c r="K143" s="93">
        <v>3596500.0</v>
      </c>
      <c r="L143" s="94">
        <v>45754.0</v>
      </c>
    </row>
    <row r="144">
      <c r="A144" s="77">
        <v>522.0</v>
      </c>
      <c r="B144" s="78" t="s">
        <v>4620</v>
      </c>
      <c r="C144" s="79">
        <v>2.0251500022793E13</v>
      </c>
      <c r="D144" s="78" t="s">
        <v>4774</v>
      </c>
      <c r="E144" s="107" t="s">
        <v>247</v>
      </c>
      <c r="F144" s="77" t="s">
        <v>3917</v>
      </c>
      <c r="G144" s="82">
        <v>1.006772235E9</v>
      </c>
      <c r="H144" s="78" t="s">
        <v>4079</v>
      </c>
      <c r="I144" s="92" t="s">
        <v>4443</v>
      </c>
      <c r="J144" s="81">
        <v>1.03979025E8</v>
      </c>
      <c r="K144" s="93">
        <v>2464800.0</v>
      </c>
      <c r="L144" s="94">
        <v>45754.0</v>
      </c>
    </row>
    <row r="145">
      <c r="A145" s="77">
        <v>523.0</v>
      </c>
      <c r="B145" s="78" t="s">
        <v>4620</v>
      </c>
      <c r="C145" s="79">
        <v>2.0251020022943E13</v>
      </c>
      <c r="D145" s="78" t="s">
        <v>4775</v>
      </c>
      <c r="E145" s="105" t="s">
        <v>1029</v>
      </c>
      <c r="F145" s="81" t="s">
        <v>3917</v>
      </c>
      <c r="G145" s="82">
        <v>5.2515178E7</v>
      </c>
      <c r="H145" s="78" t="s">
        <v>4430</v>
      </c>
      <c r="I145" s="92" t="s">
        <v>4703</v>
      </c>
      <c r="J145" s="81">
        <v>1.05657825E8</v>
      </c>
      <c r="K145" s="93">
        <v>9677850.0</v>
      </c>
      <c r="L145" s="94">
        <v>45755.0</v>
      </c>
    </row>
    <row r="146">
      <c r="A146" s="77">
        <v>524.0</v>
      </c>
      <c r="B146" s="78" t="s">
        <v>4620</v>
      </c>
      <c r="C146" s="79">
        <v>2.0251000023123E13</v>
      </c>
      <c r="D146" s="78" t="s">
        <v>4776</v>
      </c>
      <c r="E146" s="78" t="s">
        <v>1212</v>
      </c>
      <c r="F146" s="81" t="s">
        <v>3917</v>
      </c>
      <c r="G146" s="82">
        <v>1.102363429E9</v>
      </c>
      <c r="H146" s="78" t="s">
        <v>4777</v>
      </c>
      <c r="I146" s="92" t="s">
        <v>2663</v>
      </c>
      <c r="J146" s="81">
        <v>1.04984525E8</v>
      </c>
      <c r="K146" s="93">
        <v>3596667.0</v>
      </c>
      <c r="L146" s="94">
        <v>45755.0</v>
      </c>
    </row>
    <row r="147">
      <c r="A147" s="77">
        <v>525.0</v>
      </c>
      <c r="B147" s="78" t="s">
        <v>4620</v>
      </c>
      <c r="C147" s="79">
        <v>2.0251000023153E13</v>
      </c>
      <c r="D147" s="78" t="s">
        <v>4778</v>
      </c>
      <c r="E147" s="78" t="s">
        <v>94</v>
      </c>
      <c r="F147" s="81" t="s">
        <v>3917</v>
      </c>
      <c r="G147" s="82">
        <v>1.085276539E9</v>
      </c>
      <c r="H147" s="78" t="s">
        <v>4118</v>
      </c>
      <c r="I147" s="92" t="s">
        <v>410</v>
      </c>
      <c r="J147" s="81">
        <v>1.05668125E8</v>
      </c>
      <c r="K147" s="93">
        <v>1.2E7</v>
      </c>
      <c r="L147" s="94">
        <v>45755.0</v>
      </c>
    </row>
    <row r="148">
      <c r="A148" s="77">
        <v>526.0</v>
      </c>
      <c r="B148" s="78" t="s">
        <v>4620</v>
      </c>
      <c r="C148" s="79">
        <v>2.0251000023143E13</v>
      </c>
      <c r="D148" s="78" t="s">
        <v>4779</v>
      </c>
      <c r="E148" s="78" t="s">
        <v>790</v>
      </c>
      <c r="F148" s="81" t="s">
        <v>3917</v>
      </c>
      <c r="G148" s="82">
        <v>1.000288699E9</v>
      </c>
      <c r="H148" s="78" t="s">
        <v>4500</v>
      </c>
      <c r="I148" s="92" t="s">
        <v>410</v>
      </c>
      <c r="J148" s="81">
        <v>1.05006125E8</v>
      </c>
      <c r="K148" s="93">
        <v>3285450.0</v>
      </c>
      <c r="L148" s="94">
        <v>45755.0</v>
      </c>
    </row>
    <row r="149">
      <c r="A149" s="77">
        <v>527.0</v>
      </c>
      <c r="B149" s="78" t="s">
        <v>4620</v>
      </c>
      <c r="C149" s="79">
        <v>2.0251110023223E13</v>
      </c>
      <c r="D149" s="78" t="s">
        <v>4780</v>
      </c>
      <c r="E149" s="78" t="s">
        <v>519</v>
      </c>
      <c r="F149" s="81" t="s">
        <v>3917</v>
      </c>
      <c r="G149" s="82">
        <v>5.3082812E7</v>
      </c>
      <c r="H149" s="78" t="s">
        <v>4133</v>
      </c>
      <c r="I149" s="92" t="s">
        <v>524</v>
      </c>
      <c r="J149" s="81">
        <v>1.04978525E8</v>
      </c>
      <c r="K149" s="93">
        <v>9000000.0</v>
      </c>
      <c r="L149" s="94">
        <v>45755.0</v>
      </c>
    </row>
    <row r="150">
      <c r="A150" s="77">
        <v>528.0</v>
      </c>
      <c r="B150" s="78" t="s">
        <v>4620</v>
      </c>
      <c r="C150" s="79">
        <v>2.0251110023263E13</v>
      </c>
      <c r="D150" s="78" t="s">
        <v>4781</v>
      </c>
      <c r="E150" s="78" t="s">
        <v>264</v>
      </c>
      <c r="F150" s="81" t="s">
        <v>4127</v>
      </c>
      <c r="G150" s="82">
        <v>9.00196555E8</v>
      </c>
      <c r="H150" s="78" t="s">
        <v>4128</v>
      </c>
      <c r="I150" s="92" t="s">
        <v>4734</v>
      </c>
      <c r="J150" s="81">
        <v>1.05702325E8</v>
      </c>
      <c r="K150" s="93">
        <v>4429066.0</v>
      </c>
      <c r="L150" s="94">
        <v>45755.0</v>
      </c>
    </row>
    <row r="151">
      <c r="A151" s="77">
        <v>529.0</v>
      </c>
      <c r="B151" s="78" t="s">
        <v>4620</v>
      </c>
      <c r="C151" s="79">
        <v>2.0251610022403E13</v>
      </c>
      <c r="D151" s="78" t="s">
        <v>4782</v>
      </c>
      <c r="E151" s="78" t="s">
        <v>295</v>
      </c>
      <c r="F151" s="81" t="s">
        <v>3917</v>
      </c>
      <c r="G151" s="82">
        <v>1.004754082E9</v>
      </c>
      <c r="H151" s="78" t="s">
        <v>4038</v>
      </c>
      <c r="I151" s="92" t="s">
        <v>170</v>
      </c>
      <c r="J151" s="81">
        <v>1.11014325E8</v>
      </c>
      <c r="K151" s="93">
        <v>3285450.0</v>
      </c>
      <c r="L151" s="94">
        <v>45758.0</v>
      </c>
    </row>
    <row r="152">
      <c r="A152" s="77">
        <v>530.0</v>
      </c>
      <c r="B152" s="78" t="s">
        <v>4620</v>
      </c>
      <c r="C152" s="79">
        <v>2.0251610022413E13</v>
      </c>
      <c r="D152" s="78" t="s">
        <v>4783</v>
      </c>
      <c r="E152" s="78" t="s">
        <v>4030</v>
      </c>
      <c r="F152" s="81" t="s">
        <v>3917</v>
      </c>
      <c r="G152" s="82">
        <v>1.02235787E9</v>
      </c>
      <c r="H152" s="78" t="s">
        <v>4031</v>
      </c>
      <c r="I152" s="92" t="s">
        <v>170</v>
      </c>
      <c r="J152" s="81">
        <v>1.11065825E8</v>
      </c>
      <c r="K152" s="93">
        <v>6663300.0</v>
      </c>
      <c r="L152" s="94">
        <v>45758.0</v>
      </c>
    </row>
    <row r="153">
      <c r="A153" s="77">
        <v>531.0</v>
      </c>
      <c r="B153" s="78" t="s">
        <v>4620</v>
      </c>
      <c r="C153" s="79">
        <v>2.0251610022423E13</v>
      </c>
      <c r="D153" s="78" t="s">
        <v>4784</v>
      </c>
      <c r="E153" s="78" t="s">
        <v>166</v>
      </c>
      <c r="F153" s="81" t="s">
        <v>3917</v>
      </c>
      <c r="G153" s="82">
        <v>1.026586964E9</v>
      </c>
      <c r="H153" s="78" t="s">
        <v>4028</v>
      </c>
      <c r="I153" s="92" t="s">
        <v>170</v>
      </c>
      <c r="J153" s="81">
        <v>1.11049025E8</v>
      </c>
      <c r="K153" s="93">
        <v>4374300.0</v>
      </c>
      <c r="L153" s="94">
        <v>45758.0</v>
      </c>
    </row>
    <row r="154">
      <c r="A154" s="77">
        <v>532.0</v>
      </c>
      <c r="B154" s="78" t="s">
        <v>4620</v>
      </c>
      <c r="C154" s="79">
        <v>2.0251610022973E13</v>
      </c>
      <c r="D154" s="78" t="s">
        <v>4785</v>
      </c>
      <c r="E154" s="78" t="s">
        <v>1021</v>
      </c>
      <c r="F154" s="81" t="s">
        <v>3917</v>
      </c>
      <c r="G154" s="82">
        <v>1.03242089E9</v>
      </c>
      <c r="H154" s="78" t="s">
        <v>4400</v>
      </c>
      <c r="I154" s="92" t="s">
        <v>170</v>
      </c>
      <c r="J154" s="81">
        <v>1.13841925E8</v>
      </c>
      <c r="K154" s="93">
        <v>8650000.0</v>
      </c>
      <c r="L154" s="94">
        <v>45762.0</v>
      </c>
    </row>
    <row r="155">
      <c r="A155" s="77">
        <v>533.0</v>
      </c>
      <c r="B155" s="78" t="s">
        <v>4620</v>
      </c>
      <c r="C155" s="79">
        <v>2.0251020022303E13</v>
      </c>
      <c r="D155" s="78" t="s">
        <v>4786</v>
      </c>
      <c r="E155" s="78" t="s">
        <v>2797</v>
      </c>
      <c r="F155" s="81" t="s">
        <v>3917</v>
      </c>
      <c r="G155" s="82">
        <v>1.032460931E9</v>
      </c>
      <c r="H155" s="78" t="s">
        <v>4106</v>
      </c>
      <c r="I155" s="92" t="s">
        <v>4690</v>
      </c>
      <c r="J155" s="81">
        <v>1.04960925E8</v>
      </c>
      <c r="K155" s="93">
        <v>4161900.0</v>
      </c>
      <c r="L155" s="94">
        <v>45755.0</v>
      </c>
    </row>
    <row r="156">
      <c r="A156" s="77">
        <v>534.0</v>
      </c>
      <c r="B156" s="78" t="s">
        <v>4620</v>
      </c>
      <c r="C156" s="79">
        <v>2.0251510023313E13</v>
      </c>
      <c r="D156" s="78" t="s">
        <v>4787</v>
      </c>
      <c r="E156" s="78" t="s">
        <v>1134</v>
      </c>
      <c r="F156" s="81" t="s">
        <v>3917</v>
      </c>
      <c r="G156" s="82">
        <v>1.002537103E9</v>
      </c>
      <c r="H156" s="78" t="s">
        <v>4317</v>
      </c>
      <c r="I156" s="92" t="s">
        <v>4315</v>
      </c>
      <c r="J156" s="81">
        <v>1.05670225E8</v>
      </c>
      <c r="K156" s="93">
        <v>1770860.0</v>
      </c>
      <c r="L156" s="94">
        <v>45755.0</v>
      </c>
    </row>
    <row r="157">
      <c r="A157" s="77">
        <v>535.0</v>
      </c>
      <c r="B157" s="78" t="s">
        <v>4620</v>
      </c>
      <c r="C157" s="79">
        <v>2.0251110023363E13</v>
      </c>
      <c r="D157" s="78" t="s">
        <v>4788</v>
      </c>
      <c r="E157" s="78" t="s">
        <v>904</v>
      </c>
      <c r="F157" s="81" t="s">
        <v>3917</v>
      </c>
      <c r="G157" s="82">
        <v>1.049623315E9</v>
      </c>
      <c r="H157" s="78" t="s">
        <v>4507</v>
      </c>
      <c r="I157" s="92" t="s">
        <v>524</v>
      </c>
      <c r="J157" s="81">
        <v>1.03973825E8</v>
      </c>
      <c r="K157" s="93">
        <v>6200000.0</v>
      </c>
      <c r="L157" s="94">
        <v>45754.0</v>
      </c>
    </row>
    <row r="158">
      <c r="A158" s="77">
        <v>536.0</v>
      </c>
      <c r="B158" s="78" t="s">
        <v>4620</v>
      </c>
      <c r="C158" s="79">
        <v>2.0251610023173E13</v>
      </c>
      <c r="D158" s="78" t="s">
        <v>4789</v>
      </c>
      <c r="E158" s="78" t="s">
        <v>653</v>
      </c>
      <c r="F158" s="81" t="s">
        <v>3917</v>
      </c>
      <c r="G158" s="82">
        <v>1.073236997E9</v>
      </c>
      <c r="H158" s="78" t="s">
        <v>4509</v>
      </c>
      <c r="I158" s="92" t="s">
        <v>557</v>
      </c>
      <c r="J158" s="81">
        <v>1.05017025E8</v>
      </c>
      <c r="K158" s="93">
        <v>1.29115E7</v>
      </c>
      <c r="L158" s="94">
        <v>45755.0</v>
      </c>
    </row>
    <row r="159">
      <c r="A159" s="77">
        <v>537.0</v>
      </c>
      <c r="B159" s="78" t="s">
        <v>4620</v>
      </c>
      <c r="C159" s="79">
        <v>2.0251610022533E13</v>
      </c>
      <c r="D159" s="78" t="s">
        <v>4790</v>
      </c>
      <c r="E159" s="106" t="s">
        <v>775</v>
      </c>
      <c r="F159" s="81" t="s">
        <v>3917</v>
      </c>
      <c r="G159" s="82">
        <v>1.053826184E9</v>
      </c>
      <c r="H159" s="78" t="s">
        <v>4323</v>
      </c>
      <c r="I159" s="92" t="s">
        <v>561</v>
      </c>
      <c r="J159" s="81">
        <v>1.13842825E8</v>
      </c>
      <c r="K159" s="93">
        <v>3630900.0</v>
      </c>
      <c r="L159" s="94">
        <v>45762.0</v>
      </c>
    </row>
    <row r="160">
      <c r="A160" s="77">
        <v>538.0</v>
      </c>
      <c r="B160" s="78" t="s">
        <v>4620</v>
      </c>
      <c r="C160" s="79">
        <v>2.0251610023183E13</v>
      </c>
      <c r="D160" s="78" t="s">
        <v>4791</v>
      </c>
      <c r="E160" s="78" t="s">
        <v>553</v>
      </c>
      <c r="F160" s="81" t="s">
        <v>3917</v>
      </c>
      <c r="G160" s="82">
        <v>1.07413537E9</v>
      </c>
      <c r="H160" s="78" t="s">
        <v>4075</v>
      </c>
      <c r="I160" s="92" t="s">
        <v>557</v>
      </c>
      <c r="J160" s="81">
        <v>1.13862325E8</v>
      </c>
      <c r="K160" s="93">
        <v>6663300.0</v>
      </c>
      <c r="L160" s="94">
        <v>45762.0</v>
      </c>
    </row>
    <row r="161">
      <c r="A161" s="77">
        <v>539.0</v>
      </c>
      <c r="B161" s="78" t="s">
        <v>4620</v>
      </c>
      <c r="C161" s="79">
        <v>2.0251610023303E13</v>
      </c>
      <c r="D161" s="78" t="s">
        <v>4792</v>
      </c>
      <c r="E161" s="78" t="s">
        <v>1080</v>
      </c>
      <c r="F161" s="81" t="s">
        <v>3917</v>
      </c>
      <c r="G161" s="82">
        <v>5.2958449E7</v>
      </c>
      <c r="H161" s="78" t="s">
        <v>4402</v>
      </c>
      <c r="I161" s="92" t="s">
        <v>170</v>
      </c>
      <c r="J161" s="81">
        <v>1.13858225E8</v>
      </c>
      <c r="K161" s="93">
        <v>8997450.0</v>
      </c>
      <c r="L161" s="94">
        <v>45762.0</v>
      </c>
    </row>
    <row r="162">
      <c r="A162" s="77">
        <v>540.0</v>
      </c>
      <c r="B162" s="78" t="s">
        <v>4620</v>
      </c>
      <c r="C162" s="79">
        <v>2.0251610023333E13</v>
      </c>
      <c r="D162" s="78" t="s">
        <v>4793</v>
      </c>
      <c r="E162" s="78" t="s">
        <v>376</v>
      </c>
      <c r="F162" s="81" t="s">
        <v>3917</v>
      </c>
      <c r="G162" s="82">
        <v>1.075222248E9</v>
      </c>
      <c r="H162" s="78" t="s">
        <v>4047</v>
      </c>
      <c r="I162" s="92" t="s">
        <v>4360</v>
      </c>
      <c r="J162" s="81">
        <v>1.13873825E8</v>
      </c>
      <c r="K162" s="93">
        <v>8650000.0</v>
      </c>
      <c r="L162" s="94">
        <v>45762.0</v>
      </c>
    </row>
    <row r="163">
      <c r="A163" s="77">
        <v>541.0</v>
      </c>
      <c r="B163" s="78" t="s">
        <v>4620</v>
      </c>
      <c r="C163" s="79">
        <v>2.0251020023473E13</v>
      </c>
      <c r="D163" s="78" t="s">
        <v>4794</v>
      </c>
      <c r="E163" s="78" t="s">
        <v>542</v>
      </c>
      <c r="F163" s="81" t="s">
        <v>3917</v>
      </c>
      <c r="G163" s="82">
        <v>1.026299983E9</v>
      </c>
      <c r="H163" s="78" t="s">
        <v>4096</v>
      </c>
      <c r="I163" s="92" t="s">
        <v>4295</v>
      </c>
      <c r="J163" s="81">
        <v>1.13861325E8</v>
      </c>
      <c r="K163" s="93">
        <v>6615000.0</v>
      </c>
      <c r="L163" s="94">
        <v>45762.0</v>
      </c>
    </row>
    <row r="164">
      <c r="A164" s="77">
        <v>542.0</v>
      </c>
      <c r="B164" s="78" t="s">
        <v>4620</v>
      </c>
      <c r="C164" s="79">
        <v>2.0251610023503E13</v>
      </c>
      <c r="D164" s="78" t="s">
        <v>4795</v>
      </c>
      <c r="E164" s="78" t="s">
        <v>770</v>
      </c>
      <c r="F164" s="81" t="s">
        <v>3917</v>
      </c>
      <c r="G164" s="82">
        <v>1.15245016E9</v>
      </c>
      <c r="H164" s="78" t="s">
        <v>4524</v>
      </c>
      <c r="I164" s="92" t="s">
        <v>874</v>
      </c>
      <c r="J164" s="81">
        <v>1.13879525E8</v>
      </c>
      <c r="K164" s="93">
        <v>4374300.0</v>
      </c>
      <c r="L164" s="94">
        <v>45762.0</v>
      </c>
    </row>
    <row r="165">
      <c r="A165" s="77">
        <v>543.0</v>
      </c>
      <c r="B165" s="78" t="s">
        <v>4620</v>
      </c>
      <c r="C165" s="79">
        <v>2.0251610023203E13</v>
      </c>
      <c r="D165" s="78" t="s">
        <v>4796</v>
      </c>
      <c r="E165" s="78" t="s">
        <v>4455</v>
      </c>
      <c r="F165" s="81" t="s">
        <v>3917</v>
      </c>
      <c r="G165" s="82">
        <v>1.088351048E9</v>
      </c>
      <c r="H165" s="78" t="s">
        <v>4456</v>
      </c>
      <c r="I165" s="92" t="s">
        <v>557</v>
      </c>
      <c r="J165" s="81">
        <v>1.04971125E8</v>
      </c>
      <c r="K165" s="93">
        <v>8997450.0</v>
      </c>
      <c r="L165" s="94">
        <v>45755.0</v>
      </c>
    </row>
    <row r="166">
      <c r="A166" s="77">
        <v>544.0</v>
      </c>
      <c r="B166" s="78" t="s">
        <v>4620</v>
      </c>
      <c r="C166" s="79">
        <v>2.0251100023403E13</v>
      </c>
      <c r="D166" s="78" t="s">
        <v>4797</v>
      </c>
      <c r="E166" s="78" t="s">
        <v>395</v>
      </c>
      <c r="F166" s="81" t="s">
        <v>3917</v>
      </c>
      <c r="G166" s="82">
        <v>2.6428474E7</v>
      </c>
      <c r="H166" s="78" t="s">
        <v>4579</v>
      </c>
      <c r="I166" s="92" t="s">
        <v>400</v>
      </c>
      <c r="J166" s="81">
        <v>1.05018625E8</v>
      </c>
      <c r="K166" s="93">
        <v>7907246.0</v>
      </c>
      <c r="L166" s="94">
        <v>45755.0</v>
      </c>
    </row>
    <row r="167">
      <c r="A167" s="77">
        <v>545.0</v>
      </c>
      <c r="B167" s="78" t="s">
        <v>4620</v>
      </c>
      <c r="C167" s="79">
        <v>2.0251800023413E13</v>
      </c>
      <c r="D167" s="78" t="s">
        <v>4798</v>
      </c>
      <c r="E167" s="107" t="s">
        <v>510</v>
      </c>
      <c r="F167" s="77" t="s">
        <v>3917</v>
      </c>
      <c r="G167" s="82">
        <v>1.3456486E7</v>
      </c>
      <c r="H167" s="78" t="s">
        <v>4158</v>
      </c>
      <c r="I167" s="92" t="s">
        <v>514</v>
      </c>
      <c r="J167" s="81">
        <v>1.04975125E8</v>
      </c>
      <c r="K167" s="93">
        <v>6346000.0</v>
      </c>
      <c r="L167" s="94">
        <v>45755.0</v>
      </c>
    </row>
    <row r="168">
      <c r="A168" s="77">
        <v>546.0</v>
      </c>
      <c r="B168" s="78" t="s">
        <v>4620</v>
      </c>
      <c r="C168" s="79">
        <v>2.0251900023423E13</v>
      </c>
      <c r="D168" s="78" t="s">
        <v>4799</v>
      </c>
      <c r="E168" s="109" t="s">
        <v>1139</v>
      </c>
      <c r="F168" s="81" t="s">
        <v>3917</v>
      </c>
      <c r="G168" s="82">
        <v>8.0111613E7</v>
      </c>
      <c r="H168" s="78" t="s">
        <v>4538</v>
      </c>
      <c r="I168" s="92" t="s">
        <v>992</v>
      </c>
      <c r="J168" s="81">
        <v>1.12928025E8</v>
      </c>
      <c r="K168" s="93">
        <v>7000000.0</v>
      </c>
      <c r="L168" s="94">
        <v>45761.0</v>
      </c>
    </row>
    <row r="169">
      <c r="A169" s="77">
        <v>547.0</v>
      </c>
      <c r="B169" s="78" t="s">
        <v>4620</v>
      </c>
      <c r="C169" s="79">
        <v>2.0251900023443E13</v>
      </c>
      <c r="D169" s="78" t="s">
        <v>4800</v>
      </c>
      <c r="E169" s="107" t="s">
        <v>826</v>
      </c>
      <c r="F169" s="77" t="s">
        <v>3917</v>
      </c>
      <c r="G169" s="82">
        <v>1.098826619E9</v>
      </c>
      <c r="H169" s="78" t="s">
        <v>4342</v>
      </c>
      <c r="I169" s="92" t="s">
        <v>4378</v>
      </c>
      <c r="J169" s="81">
        <v>1.05065625E8</v>
      </c>
      <c r="K169" s="93">
        <v>6000000.0</v>
      </c>
      <c r="L169" s="94">
        <v>45755.0</v>
      </c>
    </row>
    <row r="170">
      <c r="A170" s="77">
        <v>548.0</v>
      </c>
      <c r="B170" s="78" t="s">
        <v>4620</v>
      </c>
      <c r="C170" s="79">
        <v>2.0251800023453E13</v>
      </c>
      <c r="D170" s="78" t="s">
        <v>4801</v>
      </c>
      <c r="E170" s="105" t="s">
        <v>2755</v>
      </c>
      <c r="F170" s="81" t="s">
        <v>3917</v>
      </c>
      <c r="G170" s="82">
        <v>8.005725E7</v>
      </c>
      <c r="H170" s="78" t="s">
        <v>3991</v>
      </c>
      <c r="I170" s="92" t="s">
        <v>514</v>
      </c>
      <c r="J170" s="81">
        <v>1.05664125E8</v>
      </c>
      <c r="K170" s="93">
        <v>5930000.0</v>
      </c>
      <c r="L170" s="94">
        <v>45755.0</v>
      </c>
    </row>
    <row r="171">
      <c r="A171" s="77">
        <v>549.0</v>
      </c>
      <c r="B171" s="78" t="s">
        <v>4620</v>
      </c>
      <c r="C171" s="79">
        <v>2.0251900023463E13</v>
      </c>
      <c r="D171" s="78" t="s">
        <v>4802</v>
      </c>
      <c r="E171" s="78" t="s">
        <v>918</v>
      </c>
      <c r="F171" s="81" t="s">
        <v>3917</v>
      </c>
      <c r="G171" s="82">
        <v>1.077149572E9</v>
      </c>
      <c r="H171" s="78" t="s">
        <v>4585</v>
      </c>
      <c r="I171" s="92" t="s">
        <v>992</v>
      </c>
      <c r="J171" s="81">
        <v>1.14029225E8</v>
      </c>
      <c r="K171" s="93">
        <v>4000000.0</v>
      </c>
      <c r="L171" s="94">
        <v>45762.0</v>
      </c>
    </row>
    <row r="172">
      <c r="A172" s="77">
        <v>550.0</v>
      </c>
      <c r="B172" s="78" t="s">
        <v>4620</v>
      </c>
      <c r="C172" s="79">
        <v>2.0251700023483E13</v>
      </c>
      <c r="D172" s="78" t="s">
        <v>4803</v>
      </c>
      <c r="E172" s="78" t="s">
        <v>2724</v>
      </c>
      <c r="F172" s="81" t="s">
        <v>3917</v>
      </c>
      <c r="G172" s="82">
        <v>1.015393939E9</v>
      </c>
      <c r="H172" s="78" t="s">
        <v>4162</v>
      </c>
      <c r="I172" s="92" t="s">
        <v>4472</v>
      </c>
      <c r="J172" s="81">
        <v>1.08172525E8</v>
      </c>
      <c r="K172" s="93">
        <v>1.04181E7</v>
      </c>
      <c r="L172" s="94">
        <v>45756.0</v>
      </c>
    </row>
    <row r="173">
      <c r="A173" s="77">
        <v>551.0</v>
      </c>
      <c r="B173" s="78" t="s">
        <v>4620</v>
      </c>
      <c r="C173" s="79">
        <v>2.0251110023583E13</v>
      </c>
      <c r="D173" s="78" t="s">
        <v>4804</v>
      </c>
      <c r="E173" s="78" t="s">
        <v>4574</v>
      </c>
      <c r="F173" s="81" t="s">
        <v>4127</v>
      </c>
      <c r="G173" s="98">
        <v>8.00193221E8</v>
      </c>
      <c r="H173" s="78" t="s">
        <v>4575</v>
      </c>
      <c r="I173" s="92" t="s">
        <v>524</v>
      </c>
      <c r="J173" s="81">
        <v>1.05050825E8</v>
      </c>
      <c r="K173" s="93">
        <v>1.3672046E7</v>
      </c>
      <c r="L173" s="94">
        <v>45755.0</v>
      </c>
    </row>
    <row r="174">
      <c r="A174" s="77">
        <v>552.0</v>
      </c>
      <c r="B174" s="78" t="s">
        <v>4620</v>
      </c>
      <c r="C174" s="79">
        <v>2.0251700023593E13</v>
      </c>
      <c r="D174" s="78" t="s">
        <v>4805</v>
      </c>
      <c r="E174" s="106" t="s">
        <v>806</v>
      </c>
      <c r="F174" s="81" t="s">
        <v>3917</v>
      </c>
      <c r="G174" s="82">
        <v>1.018472611E9</v>
      </c>
      <c r="H174" s="78" t="s">
        <v>4325</v>
      </c>
      <c r="I174" s="92" t="s">
        <v>4806</v>
      </c>
      <c r="J174" s="81">
        <v>1.09748325E8</v>
      </c>
      <c r="K174" s="93">
        <v>1.04181E7</v>
      </c>
      <c r="L174" s="94">
        <v>45757.0</v>
      </c>
    </row>
    <row r="175">
      <c r="A175" s="77">
        <v>553.0</v>
      </c>
      <c r="B175" s="78" t="s">
        <v>4620</v>
      </c>
      <c r="C175" s="79">
        <v>2.0251610023573E13</v>
      </c>
      <c r="D175" s="78" t="s">
        <v>4807</v>
      </c>
      <c r="E175" s="78" t="s">
        <v>87</v>
      </c>
      <c r="F175" s="81" t="s">
        <v>3917</v>
      </c>
      <c r="G175" s="82">
        <v>1.02078112E9</v>
      </c>
      <c r="H175" s="78" t="s">
        <v>4087</v>
      </c>
      <c r="I175" s="92" t="s">
        <v>294</v>
      </c>
      <c r="J175" s="81">
        <v>1.13855925E8</v>
      </c>
      <c r="K175" s="93">
        <v>7942200.0</v>
      </c>
      <c r="L175" s="94">
        <v>45762.0</v>
      </c>
    </row>
    <row r="176">
      <c r="A176" s="77">
        <v>554.0</v>
      </c>
      <c r="B176" s="78" t="s">
        <v>4620</v>
      </c>
      <c r="C176" s="79">
        <v>2.0251120023603E13</v>
      </c>
      <c r="D176" s="78" t="s">
        <v>4808</v>
      </c>
      <c r="E176" s="78" t="s">
        <v>237</v>
      </c>
      <c r="F176" s="81" t="s">
        <v>3917</v>
      </c>
      <c r="G176" s="82">
        <v>9.1251483E7</v>
      </c>
      <c r="H176" s="78" t="s">
        <v>4013</v>
      </c>
      <c r="I176" s="92" t="s">
        <v>4554</v>
      </c>
      <c r="J176" s="81">
        <v>1.13868725E8</v>
      </c>
      <c r="K176" s="93">
        <v>7366800.0</v>
      </c>
      <c r="L176" s="94">
        <v>45762.0</v>
      </c>
    </row>
    <row r="177">
      <c r="A177" s="77">
        <v>555.0</v>
      </c>
      <c r="B177" s="78" t="s">
        <v>4620</v>
      </c>
      <c r="C177" s="79">
        <v>2.0251300023643E13</v>
      </c>
      <c r="D177" s="78" t="s">
        <v>4809</v>
      </c>
      <c r="E177" s="78" t="s">
        <v>443</v>
      </c>
      <c r="F177" s="81" t="s">
        <v>3917</v>
      </c>
      <c r="G177" s="82">
        <v>1.2129602E7</v>
      </c>
      <c r="H177" s="78" t="s">
        <v>3997</v>
      </c>
      <c r="I177" s="92" t="s">
        <v>4358</v>
      </c>
      <c r="J177" s="81">
        <v>1.04953625E8</v>
      </c>
      <c r="K177" s="93">
        <v>1.0575E7</v>
      </c>
      <c r="L177" s="94">
        <v>45755.0</v>
      </c>
    </row>
    <row r="178">
      <c r="A178" s="77">
        <v>556.0</v>
      </c>
      <c r="B178" s="78" t="s">
        <v>4620</v>
      </c>
      <c r="C178" s="79">
        <v>2.0251000023663E13</v>
      </c>
      <c r="D178" s="78" t="s">
        <v>4810</v>
      </c>
      <c r="E178" s="78" t="s">
        <v>3465</v>
      </c>
      <c r="F178" s="81" t="s">
        <v>3917</v>
      </c>
      <c r="G178" s="82">
        <v>1.031141613E9</v>
      </c>
      <c r="H178" s="78" t="s">
        <v>4533</v>
      </c>
      <c r="I178" s="92" t="s">
        <v>2663</v>
      </c>
      <c r="J178" s="81">
        <v>1.08204025E8</v>
      </c>
      <c r="K178" s="93">
        <v>6300000.0</v>
      </c>
      <c r="L178" s="94">
        <v>45756.0</v>
      </c>
    </row>
    <row r="179">
      <c r="A179" s="77">
        <v>557.0</v>
      </c>
      <c r="B179" s="78" t="s">
        <v>4620</v>
      </c>
      <c r="C179" s="79">
        <v>2.0251000023683E13</v>
      </c>
      <c r="D179" s="78" t="s">
        <v>4811</v>
      </c>
      <c r="E179" s="78" t="s">
        <v>795</v>
      </c>
      <c r="F179" s="81" t="s">
        <v>3917</v>
      </c>
      <c r="G179" s="82">
        <v>4517491.0</v>
      </c>
      <c r="H179" s="78" t="s">
        <v>4517</v>
      </c>
      <c r="I179" s="92" t="s">
        <v>2663</v>
      </c>
      <c r="J179" s="81">
        <v>1.05674325E8</v>
      </c>
      <c r="K179" s="93">
        <v>6000000.0</v>
      </c>
      <c r="L179" s="94">
        <v>45755.0</v>
      </c>
    </row>
    <row r="180">
      <c r="A180" s="77">
        <v>559.0</v>
      </c>
      <c r="B180" s="78" t="s">
        <v>4620</v>
      </c>
      <c r="C180" s="79">
        <v>2.0251000023693E13</v>
      </c>
      <c r="D180" s="78" t="s">
        <v>4812</v>
      </c>
      <c r="E180" s="78" t="s">
        <v>1100</v>
      </c>
      <c r="F180" s="81" t="s">
        <v>3917</v>
      </c>
      <c r="G180" s="82">
        <v>2.5221017E7</v>
      </c>
      <c r="H180" s="78" t="s">
        <v>4595</v>
      </c>
      <c r="I180" s="92" t="s">
        <v>2663</v>
      </c>
      <c r="J180" s="81">
        <v>1.05686125E8</v>
      </c>
      <c r="K180" s="93">
        <v>7500000.0</v>
      </c>
      <c r="L180" s="94">
        <v>45755.0</v>
      </c>
    </row>
    <row r="181">
      <c r="A181" s="77">
        <v>560.0</v>
      </c>
      <c r="B181" s="78" t="s">
        <v>4620</v>
      </c>
      <c r="C181" s="79">
        <v>2.0251000023703E13</v>
      </c>
      <c r="D181" s="78" t="s">
        <v>4813</v>
      </c>
      <c r="E181" s="78" t="s">
        <v>1034</v>
      </c>
      <c r="F181" s="81" t="s">
        <v>3917</v>
      </c>
      <c r="G181" s="82">
        <v>5.2151456E7</v>
      </c>
      <c r="H181" s="78" t="s">
        <v>4522</v>
      </c>
      <c r="I181" s="92" t="s">
        <v>2663</v>
      </c>
      <c r="J181" s="81">
        <v>1.08145425E8</v>
      </c>
      <c r="K181" s="93">
        <v>6900000.0</v>
      </c>
      <c r="L181" s="94">
        <v>45756.0</v>
      </c>
    </row>
    <row r="182">
      <c r="A182" s="77">
        <v>561.0</v>
      </c>
      <c r="B182" s="78" t="s">
        <v>4620</v>
      </c>
      <c r="C182" s="79">
        <v>2.0251000023713E13</v>
      </c>
      <c r="D182" s="78" t="s">
        <v>4814</v>
      </c>
      <c r="E182" s="78" t="s">
        <v>1181</v>
      </c>
      <c r="F182" s="81" t="s">
        <v>3917</v>
      </c>
      <c r="G182" s="82">
        <v>1.032497761E9</v>
      </c>
      <c r="H182" s="78" t="s">
        <v>4815</v>
      </c>
      <c r="I182" s="92" t="s">
        <v>2663</v>
      </c>
      <c r="J182" s="81">
        <v>1.08150525E8</v>
      </c>
      <c r="K182" s="93">
        <v>2133333.0</v>
      </c>
      <c r="L182" s="94">
        <v>45756.0</v>
      </c>
    </row>
    <row r="183">
      <c r="A183" s="77">
        <v>562.0</v>
      </c>
      <c r="B183" s="78" t="s">
        <v>4620</v>
      </c>
      <c r="C183" s="79">
        <v>2.0251000023723E13</v>
      </c>
      <c r="D183" s="78" t="s">
        <v>4816</v>
      </c>
      <c r="E183" s="78" t="s">
        <v>338</v>
      </c>
      <c r="F183" s="81" t="s">
        <v>3917</v>
      </c>
      <c r="G183" s="82">
        <v>1.136879313E9</v>
      </c>
      <c r="H183" s="78" t="s">
        <v>4144</v>
      </c>
      <c r="I183" s="92" t="s">
        <v>2663</v>
      </c>
      <c r="J183" s="81">
        <v>1.05692125E8</v>
      </c>
      <c r="K183" s="93">
        <v>7200000.0</v>
      </c>
      <c r="L183" s="94">
        <v>45755.0</v>
      </c>
    </row>
    <row r="184">
      <c r="A184" s="77">
        <v>563.0</v>
      </c>
      <c r="B184" s="78" t="s">
        <v>4620</v>
      </c>
      <c r="C184" s="79">
        <v>2.0251610023163E13</v>
      </c>
      <c r="D184" s="78" t="s">
        <v>4817</v>
      </c>
      <c r="E184" s="78" t="s">
        <v>859</v>
      </c>
      <c r="F184" s="81" t="s">
        <v>3917</v>
      </c>
      <c r="G184" s="82">
        <v>1.032433564E9</v>
      </c>
      <c r="H184" s="78" t="s">
        <v>4469</v>
      </c>
      <c r="I184" s="92" t="s">
        <v>557</v>
      </c>
      <c r="J184" s="81">
        <v>1.04956525E8</v>
      </c>
      <c r="K184" s="93">
        <v>1.1960454E7</v>
      </c>
      <c r="L184" s="94">
        <v>45755.0</v>
      </c>
    </row>
    <row r="185">
      <c r="A185" s="77">
        <v>564.0</v>
      </c>
      <c r="B185" s="78" t="s">
        <v>4620</v>
      </c>
      <c r="C185" s="79">
        <v>2.0251610023533E13</v>
      </c>
      <c r="D185" s="78" t="s">
        <v>4818</v>
      </c>
      <c r="E185" s="78" t="s">
        <v>411</v>
      </c>
      <c r="F185" s="81" t="s">
        <v>3917</v>
      </c>
      <c r="G185" s="82">
        <v>1.020804167E9</v>
      </c>
      <c r="H185" s="78" t="s">
        <v>4034</v>
      </c>
      <c r="I185" s="92" t="s">
        <v>4426</v>
      </c>
      <c r="J185" s="81">
        <v>1.05070925E8</v>
      </c>
      <c r="K185" s="93">
        <v>9679950.0</v>
      </c>
      <c r="L185" s="94">
        <v>45755.0</v>
      </c>
    </row>
    <row r="186">
      <c r="A186" s="77">
        <v>565.0</v>
      </c>
      <c r="B186" s="78" t="s">
        <v>4620</v>
      </c>
      <c r="C186" s="79">
        <v>2.0251610023623E13</v>
      </c>
      <c r="D186" s="78" t="s">
        <v>4819</v>
      </c>
      <c r="E186" s="78" t="s">
        <v>2804</v>
      </c>
      <c r="F186" s="81" t="s">
        <v>3917</v>
      </c>
      <c r="G186" s="82">
        <v>1.01020469E9</v>
      </c>
      <c r="H186" s="78" t="s">
        <v>4487</v>
      </c>
      <c r="I186" s="92" t="s">
        <v>557</v>
      </c>
      <c r="J186" s="81">
        <v>1.13866625E8</v>
      </c>
      <c r="K186" s="93">
        <v>1.35E7</v>
      </c>
      <c r="L186" s="94">
        <v>45762.0</v>
      </c>
    </row>
    <row r="187">
      <c r="A187" s="77">
        <v>566.0</v>
      </c>
      <c r="B187" s="78" t="s">
        <v>4620</v>
      </c>
      <c r="C187" s="79">
        <v>2.0251610023193E13</v>
      </c>
      <c r="D187" s="78" t="s">
        <v>4820</v>
      </c>
      <c r="E187" s="78" t="s">
        <v>4040</v>
      </c>
      <c r="F187" s="81" t="s">
        <v>3917</v>
      </c>
      <c r="G187" s="82">
        <v>1.100838461E9</v>
      </c>
      <c r="H187" s="78" t="s">
        <v>4041</v>
      </c>
      <c r="I187" s="92" t="s">
        <v>557</v>
      </c>
      <c r="J187" s="81">
        <v>1.13876925E8</v>
      </c>
      <c r="K187" s="93">
        <v>7366800.0</v>
      </c>
      <c r="L187" s="94">
        <v>45762.0</v>
      </c>
    </row>
    <row r="188">
      <c r="A188" s="77">
        <v>567.0</v>
      </c>
      <c r="B188" s="78" t="s">
        <v>4620</v>
      </c>
      <c r="C188" s="79">
        <v>2.0251000023733E13</v>
      </c>
      <c r="D188" s="78" t="s">
        <v>4821</v>
      </c>
      <c r="E188" s="78" t="s">
        <v>594</v>
      </c>
      <c r="F188" s="81" t="s">
        <v>3917</v>
      </c>
      <c r="G188" s="82">
        <v>7.9217264E7</v>
      </c>
      <c r="H188" s="78" t="s">
        <v>4560</v>
      </c>
      <c r="I188" s="92" t="s">
        <v>4822</v>
      </c>
      <c r="J188" s="81">
        <v>1.05655225E8</v>
      </c>
      <c r="K188" s="93">
        <v>4804000.0</v>
      </c>
      <c r="L188" s="94">
        <v>45755.0</v>
      </c>
    </row>
    <row r="189">
      <c r="A189" s="77">
        <v>568.0</v>
      </c>
      <c r="B189" s="78" t="s">
        <v>4620</v>
      </c>
      <c r="C189" s="79">
        <v>2.0251020023323E13</v>
      </c>
      <c r="D189" s="78" t="s">
        <v>4823</v>
      </c>
      <c r="E189" s="78" t="s">
        <v>1147</v>
      </c>
      <c r="F189" s="81" t="s">
        <v>3917</v>
      </c>
      <c r="G189" s="82">
        <v>7.9942061E7</v>
      </c>
      <c r="H189" s="78" t="s">
        <v>4824</v>
      </c>
      <c r="I189" s="92" t="s">
        <v>4703</v>
      </c>
      <c r="J189" s="79">
        <v>1.17574025E8</v>
      </c>
      <c r="K189" s="93">
        <v>1199660.0</v>
      </c>
      <c r="L189" s="94">
        <v>45769.0</v>
      </c>
    </row>
    <row r="190">
      <c r="A190" s="77">
        <v>569.0</v>
      </c>
      <c r="B190" s="78" t="s">
        <v>4620</v>
      </c>
      <c r="C190" s="79">
        <v>2.0251510023783E13</v>
      </c>
      <c r="D190" s="78" t="s">
        <v>4825</v>
      </c>
      <c r="E190" s="78" t="s">
        <v>1129</v>
      </c>
      <c r="F190" s="81" t="s">
        <v>3917</v>
      </c>
      <c r="G190" s="82">
        <v>1.083897571E9</v>
      </c>
      <c r="H190" s="78" t="s">
        <v>4493</v>
      </c>
      <c r="I190" s="92" t="s">
        <v>4494</v>
      </c>
      <c r="J190" s="81">
        <v>1.05673525E8</v>
      </c>
      <c r="K190" s="93">
        <v>8500000.0</v>
      </c>
      <c r="L190" s="94">
        <v>45755.0</v>
      </c>
    </row>
    <row r="191">
      <c r="A191" s="77">
        <v>570.0</v>
      </c>
      <c r="B191" s="78" t="s">
        <v>4620</v>
      </c>
      <c r="C191" s="79">
        <v>2.0251000023673E13</v>
      </c>
      <c r="D191" s="78" t="s">
        <v>4826</v>
      </c>
      <c r="E191" s="78" t="s">
        <v>1185</v>
      </c>
      <c r="F191" s="81" t="s">
        <v>3917</v>
      </c>
      <c r="G191" s="82">
        <v>5.5249794E7</v>
      </c>
      <c r="H191" s="78" t="s">
        <v>4827</v>
      </c>
      <c r="I191" s="92" t="s">
        <v>2663</v>
      </c>
      <c r="J191" s="81" t="s">
        <v>4828</v>
      </c>
      <c r="K191" s="93">
        <v>4869050.0</v>
      </c>
      <c r="L191" s="94">
        <v>45758.0</v>
      </c>
    </row>
    <row r="192">
      <c r="A192" s="77">
        <v>571.0</v>
      </c>
      <c r="B192" s="78" t="s">
        <v>4620</v>
      </c>
      <c r="C192" s="79">
        <v>2.0251300023813E13</v>
      </c>
      <c r="D192" s="78" t="s">
        <v>4829</v>
      </c>
      <c r="E192" s="78" t="s">
        <v>2860</v>
      </c>
      <c r="F192" s="81" t="s">
        <v>3917</v>
      </c>
      <c r="G192" s="82">
        <v>7.9972544E7</v>
      </c>
      <c r="H192" s="78" t="s">
        <v>4148</v>
      </c>
      <c r="I192" s="92" t="s">
        <v>438</v>
      </c>
      <c r="J192" s="81">
        <v>1.05681925E8</v>
      </c>
      <c r="K192" s="93">
        <v>7290000.0</v>
      </c>
      <c r="L192" s="94">
        <v>45755.0</v>
      </c>
    </row>
    <row r="193">
      <c r="A193" s="77">
        <v>572.0</v>
      </c>
      <c r="B193" s="78" t="s">
        <v>4620</v>
      </c>
      <c r="C193" s="79">
        <v>2.0251610023523E13</v>
      </c>
      <c r="D193" s="78" t="s">
        <v>4830</v>
      </c>
      <c r="E193" s="78" t="s">
        <v>285</v>
      </c>
      <c r="F193" s="81" t="s">
        <v>3917</v>
      </c>
      <c r="G193" s="82">
        <v>1.019089253E9</v>
      </c>
      <c r="H193" s="78" t="s">
        <v>4023</v>
      </c>
      <c r="I193" s="92" t="s">
        <v>4426</v>
      </c>
      <c r="J193" s="81">
        <v>1.13872125E8</v>
      </c>
      <c r="K193" s="93">
        <v>7366800.0</v>
      </c>
      <c r="L193" s="94">
        <v>45762.0</v>
      </c>
    </row>
    <row r="194">
      <c r="A194" s="77">
        <v>573.0</v>
      </c>
      <c r="B194" s="78" t="s">
        <v>4620</v>
      </c>
      <c r="C194" s="79">
        <v>2.0251300023843E13</v>
      </c>
      <c r="D194" s="78" t="s">
        <v>4831</v>
      </c>
      <c r="E194" s="78" t="s">
        <v>434</v>
      </c>
      <c r="F194" s="81" t="s">
        <v>3917</v>
      </c>
      <c r="G194" s="82">
        <v>1.022406922E9</v>
      </c>
      <c r="H194" s="78" t="s">
        <v>4083</v>
      </c>
      <c r="I194" s="92" t="s">
        <v>438</v>
      </c>
      <c r="J194" s="81">
        <v>1.13837925E8</v>
      </c>
      <c r="K194" s="93">
        <v>5746000.0</v>
      </c>
      <c r="L194" s="94">
        <v>45762.0</v>
      </c>
    </row>
    <row r="195">
      <c r="A195" s="77">
        <v>574.0</v>
      </c>
      <c r="B195" s="78" t="s">
        <v>4620</v>
      </c>
      <c r="C195" s="79">
        <v>2.0251300023823E13</v>
      </c>
      <c r="D195" s="78" t="s">
        <v>4832</v>
      </c>
      <c r="E195" s="78" t="s">
        <v>501</v>
      </c>
      <c r="F195" s="81" t="s">
        <v>3917</v>
      </c>
      <c r="G195" s="82">
        <v>1.070954996E9</v>
      </c>
      <c r="H195" s="78" t="s">
        <v>4091</v>
      </c>
      <c r="I195" s="92" t="s">
        <v>438</v>
      </c>
      <c r="J195" s="81">
        <v>1.04969425E8</v>
      </c>
      <c r="K195" s="93">
        <v>6300000.0</v>
      </c>
      <c r="L195" s="94">
        <v>45755.0</v>
      </c>
    </row>
    <row r="196">
      <c r="A196" s="77">
        <v>575.0</v>
      </c>
      <c r="B196" s="78" t="s">
        <v>4620</v>
      </c>
      <c r="C196" s="79">
        <v>2.0251140023763E13</v>
      </c>
      <c r="D196" s="78" t="s">
        <v>4833</v>
      </c>
      <c r="E196" s="78" t="s">
        <v>73</v>
      </c>
      <c r="F196" s="81" t="s">
        <v>3917</v>
      </c>
      <c r="G196" s="82">
        <v>3.9464093E7</v>
      </c>
      <c r="H196" s="78" t="s">
        <v>4184</v>
      </c>
      <c r="I196" s="92" t="s">
        <v>40</v>
      </c>
      <c r="J196" s="81">
        <v>1.04992125E8</v>
      </c>
      <c r="K196" s="93">
        <v>6000000.0</v>
      </c>
      <c r="L196" s="94">
        <v>45755.0</v>
      </c>
    </row>
    <row r="197">
      <c r="A197" s="77">
        <v>576.0</v>
      </c>
      <c r="B197" s="78" t="s">
        <v>4620</v>
      </c>
      <c r="C197" s="79">
        <v>2.0251140023793E13</v>
      </c>
      <c r="D197" s="78" t="s">
        <v>4834</v>
      </c>
      <c r="E197" s="78" t="s">
        <v>69</v>
      </c>
      <c r="F197" s="81" t="s">
        <v>3917</v>
      </c>
      <c r="G197" s="82" t="s">
        <v>37</v>
      </c>
      <c r="H197" s="78" t="s">
        <v>4043</v>
      </c>
      <c r="I197" s="92" t="s">
        <v>40</v>
      </c>
      <c r="J197" s="81">
        <v>1.13898025E8</v>
      </c>
      <c r="K197" s="93">
        <v>8886363.0</v>
      </c>
      <c r="L197" s="94">
        <v>45762.0</v>
      </c>
    </row>
    <row r="198">
      <c r="A198" s="77">
        <v>577.0</v>
      </c>
      <c r="B198" s="78" t="s">
        <v>4620</v>
      </c>
      <c r="C198" s="79">
        <v>2.0251610023513E13</v>
      </c>
      <c r="D198" s="78" t="s">
        <v>4835</v>
      </c>
      <c r="E198" s="78" t="s">
        <v>1009</v>
      </c>
      <c r="F198" s="81" t="s">
        <v>3917</v>
      </c>
      <c r="G198" s="82">
        <v>1.152204081E9</v>
      </c>
      <c r="H198" s="78" t="s">
        <v>4535</v>
      </c>
      <c r="I198" s="92" t="s">
        <v>874</v>
      </c>
      <c r="J198" s="81">
        <v>1.05045925E8</v>
      </c>
      <c r="K198" s="93">
        <v>7942200.0</v>
      </c>
      <c r="L198" s="94">
        <v>45755.0</v>
      </c>
    </row>
    <row r="199">
      <c r="A199" s="77">
        <v>578.0</v>
      </c>
      <c r="B199" s="78" t="s">
        <v>4620</v>
      </c>
      <c r="C199" s="79">
        <v>2.0251700023903E13</v>
      </c>
      <c r="D199" s="78" t="s">
        <v>4836</v>
      </c>
      <c r="E199" s="78" t="s">
        <v>2737</v>
      </c>
      <c r="F199" s="81" t="s">
        <v>3917</v>
      </c>
      <c r="G199" s="82">
        <v>8.0724862E7</v>
      </c>
      <c r="H199" s="78" t="s">
        <v>4045</v>
      </c>
      <c r="I199" s="92" t="s">
        <v>588</v>
      </c>
      <c r="J199" s="81" t="s">
        <v>4837</v>
      </c>
      <c r="K199" s="93">
        <v>1.04181E7</v>
      </c>
      <c r="L199" s="94">
        <v>45756.0</v>
      </c>
    </row>
    <row r="200">
      <c r="A200" s="77">
        <v>580.0</v>
      </c>
      <c r="B200" s="78" t="s">
        <v>4620</v>
      </c>
      <c r="C200" s="79">
        <v>2.0251110023833E13</v>
      </c>
      <c r="D200" s="78" t="s">
        <v>4838</v>
      </c>
      <c r="E200" s="78" t="s">
        <v>79</v>
      </c>
      <c r="F200" s="81" t="s">
        <v>4127</v>
      </c>
      <c r="G200" s="98">
        <v>8.11009788E8</v>
      </c>
      <c r="H200" s="78" t="s">
        <v>4166</v>
      </c>
      <c r="I200" s="92" t="s">
        <v>146</v>
      </c>
      <c r="J200" s="81">
        <v>1.01151925E8</v>
      </c>
      <c r="K200" s="93">
        <v>294015.02</v>
      </c>
      <c r="L200" s="94">
        <v>45751.0</v>
      </c>
    </row>
    <row r="201">
      <c r="A201" s="77">
        <v>581.0</v>
      </c>
      <c r="B201" s="78" t="s">
        <v>4620</v>
      </c>
      <c r="C201" s="79">
        <v>2.0251020024003E13</v>
      </c>
      <c r="D201" s="78" t="s">
        <v>4839</v>
      </c>
      <c r="E201" s="78" t="s">
        <v>713</v>
      </c>
      <c r="F201" s="81" t="s">
        <v>3917</v>
      </c>
      <c r="G201" s="82">
        <v>1.032362123E9</v>
      </c>
      <c r="H201" s="78" t="s">
        <v>4840</v>
      </c>
      <c r="I201" s="92" t="s">
        <v>4319</v>
      </c>
      <c r="J201" s="81">
        <v>1.08171125E8</v>
      </c>
      <c r="K201" s="93">
        <v>7000000.0</v>
      </c>
      <c r="L201" s="94">
        <v>45756.0</v>
      </c>
    </row>
    <row r="202">
      <c r="A202" s="77">
        <v>582.0</v>
      </c>
      <c r="B202" s="78" t="s">
        <v>4620</v>
      </c>
      <c r="C202" s="79">
        <v>2.0251300024063E13</v>
      </c>
      <c r="D202" s="78" t="s">
        <v>4841</v>
      </c>
      <c r="E202" s="107" t="s">
        <v>460</v>
      </c>
      <c r="F202" s="77" t="s">
        <v>3917</v>
      </c>
      <c r="G202" s="82">
        <v>9.323712E7</v>
      </c>
      <c r="H202" s="78" t="s">
        <v>4073</v>
      </c>
      <c r="I202" s="92" t="s">
        <v>4358</v>
      </c>
      <c r="J202" s="81">
        <v>1.08213925E8</v>
      </c>
      <c r="K202" s="93">
        <v>8000000.0</v>
      </c>
      <c r="L202" s="94">
        <v>45756.0</v>
      </c>
    </row>
    <row r="203">
      <c r="A203" s="77">
        <v>583.0</v>
      </c>
      <c r="B203" s="78" t="s">
        <v>4620</v>
      </c>
      <c r="C203" s="79">
        <v>2.0251000024083E13</v>
      </c>
      <c r="D203" s="78" t="s">
        <v>4842</v>
      </c>
      <c r="E203" s="105" t="s">
        <v>731</v>
      </c>
      <c r="F203" s="81" t="s">
        <v>3917</v>
      </c>
      <c r="G203" s="82">
        <v>1.235539689E9</v>
      </c>
      <c r="H203" s="78" t="s">
        <v>4550</v>
      </c>
      <c r="I203" s="92" t="s">
        <v>4822</v>
      </c>
      <c r="J203" s="81">
        <v>1.10143925E8</v>
      </c>
      <c r="K203" s="93">
        <v>3290000.0</v>
      </c>
      <c r="L203" s="94">
        <v>45757.0</v>
      </c>
    </row>
    <row r="204">
      <c r="A204" s="77">
        <v>584.0</v>
      </c>
      <c r="B204" s="78" t="s">
        <v>4620</v>
      </c>
      <c r="C204" s="79">
        <v>2.0251000024123E13</v>
      </c>
      <c r="D204" s="78" t="s">
        <v>4843</v>
      </c>
      <c r="E204" s="78" t="s">
        <v>913</v>
      </c>
      <c r="F204" s="81" t="s">
        <v>3917</v>
      </c>
      <c r="G204" s="82">
        <v>1.032450346E9</v>
      </c>
      <c r="H204" s="78" t="s">
        <v>4498</v>
      </c>
      <c r="I204" s="92" t="s">
        <v>4822</v>
      </c>
      <c r="J204" s="81">
        <v>1.05677325E8</v>
      </c>
      <c r="K204" s="93">
        <v>5044200.0</v>
      </c>
      <c r="L204" s="94">
        <v>45755.0</v>
      </c>
    </row>
    <row r="205">
      <c r="A205" s="77">
        <v>585.0</v>
      </c>
      <c r="B205" s="78" t="s">
        <v>4620</v>
      </c>
      <c r="C205" s="79">
        <v>2.0251000024163E13</v>
      </c>
      <c r="D205" s="78" t="s">
        <v>4844</v>
      </c>
      <c r="E205" s="78" t="s">
        <v>4137</v>
      </c>
      <c r="F205" s="81" t="s">
        <v>3917</v>
      </c>
      <c r="G205" s="82">
        <v>1.085897401E9</v>
      </c>
      <c r="H205" s="78" t="s">
        <v>4138</v>
      </c>
      <c r="I205" s="92" t="s">
        <v>4822</v>
      </c>
      <c r="J205" s="81">
        <v>1.08148925E8</v>
      </c>
      <c r="K205" s="93">
        <v>7200000.0</v>
      </c>
      <c r="L205" s="94">
        <v>45756.0</v>
      </c>
    </row>
    <row r="206">
      <c r="A206" s="77">
        <v>586.0</v>
      </c>
      <c r="B206" s="78" t="s">
        <v>4620</v>
      </c>
      <c r="C206" s="79">
        <v>2.0251000024203E13</v>
      </c>
      <c r="D206" s="78" t="s">
        <v>4845</v>
      </c>
      <c r="E206" s="78" t="s">
        <v>469</v>
      </c>
      <c r="F206" s="81" t="s">
        <v>3917</v>
      </c>
      <c r="G206" s="82">
        <v>3.9683177E7</v>
      </c>
      <c r="H206" s="78" t="s">
        <v>4000</v>
      </c>
      <c r="I206" s="92" t="s">
        <v>474</v>
      </c>
      <c r="J206" s="81">
        <v>1.08151825E8</v>
      </c>
      <c r="K206" s="93">
        <v>894712.0</v>
      </c>
      <c r="L206" s="94">
        <v>45756.0</v>
      </c>
    </row>
    <row r="207">
      <c r="A207" s="77">
        <v>587.0</v>
      </c>
      <c r="B207" s="78" t="s">
        <v>4620</v>
      </c>
      <c r="C207" s="79">
        <v>2.0251110024253E13</v>
      </c>
      <c r="D207" s="78" t="s">
        <v>4846</v>
      </c>
      <c r="E207" s="78" t="s">
        <v>4622</v>
      </c>
      <c r="F207" s="81" t="s">
        <v>4127</v>
      </c>
      <c r="G207" s="98">
        <v>9.0011939E8</v>
      </c>
      <c r="H207" s="78" t="s">
        <v>4623</v>
      </c>
      <c r="I207" s="92" t="s">
        <v>524</v>
      </c>
      <c r="J207" s="79">
        <v>1.28516925E8</v>
      </c>
      <c r="K207" s="93">
        <v>5962700.0</v>
      </c>
      <c r="L207" s="94">
        <v>45775.0</v>
      </c>
    </row>
    <row r="208">
      <c r="A208" s="77">
        <v>588.0</v>
      </c>
      <c r="B208" s="78" t="s">
        <v>4620</v>
      </c>
      <c r="C208" s="79">
        <v>2.0251000024093E13</v>
      </c>
      <c r="D208" s="78" t="s">
        <v>4847</v>
      </c>
      <c r="E208" s="78" t="s">
        <v>589</v>
      </c>
      <c r="F208" s="81" t="s">
        <v>3917</v>
      </c>
      <c r="G208" s="82">
        <v>1.032414974E9</v>
      </c>
      <c r="H208" s="78" t="s">
        <v>4485</v>
      </c>
      <c r="I208" s="92" t="s">
        <v>4822</v>
      </c>
      <c r="J208" s="81">
        <v>1.11214425E8</v>
      </c>
      <c r="K208" s="93">
        <v>4500000.0</v>
      </c>
      <c r="L208" s="94">
        <v>45758.0</v>
      </c>
    </row>
    <row r="209">
      <c r="A209" s="77">
        <v>589.0</v>
      </c>
      <c r="B209" s="78" t="s">
        <v>4620</v>
      </c>
      <c r="C209" s="79">
        <v>2.0251020024243E13</v>
      </c>
      <c r="D209" s="78" t="s">
        <v>4848</v>
      </c>
      <c r="E209" s="107" t="s">
        <v>735</v>
      </c>
      <c r="F209" s="77" t="s">
        <v>3917</v>
      </c>
      <c r="G209" s="82">
        <v>1.121891311E9</v>
      </c>
      <c r="H209" s="78" t="s">
        <v>4344</v>
      </c>
      <c r="I209" s="92" t="s">
        <v>4295</v>
      </c>
      <c r="J209" s="81">
        <v>1.13882625E8</v>
      </c>
      <c r="K209" s="93">
        <v>9200000.0</v>
      </c>
      <c r="L209" s="94">
        <v>45762.0</v>
      </c>
    </row>
    <row r="210">
      <c r="A210" s="77">
        <v>590.0</v>
      </c>
      <c r="B210" s="78" t="s">
        <v>4620</v>
      </c>
      <c r="C210" s="79">
        <v>2.0251020024293E13</v>
      </c>
      <c r="D210" s="78" t="s">
        <v>4849</v>
      </c>
      <c r="E210" s="110" t="s">
        <v>324</v>
      </c>
      <c r="F210" s="81" t="s">
        <v>3917</v>
      </c>
      <c r="G210" s="82">
        <v>1.152693194E9</v>
      </c>
      <c r="H210" s="78" t="s">
        <v>4152</v>
      </c>
      <c r="I210" s="92" t="s">
        <v>4295</v>
      </c>
      <c r="J210" s="81">
        <v>1.13887125E8</v>
      </c>
      <c r="K210" s="93">
        <v>5000000.0</v>
      </c>
      <c r="L210" s="94">
        <v>45762.0</v>
      </c>
    </row>
    <row r="211">
      <c r="A211" s="77">
        <v>591.0</v>
      </c>
      <c r="B211" s="78" t="s">
        <v>4620</v>
      </c>
      <c r="C211" s="79">
        <v>2.0251020024303E13</v>
      </c>
      <c r="D211" s="78" t="s">
        <v>4850</v>
      </c>
      <c r="E211" s="78" t="s">
        <v>171</v>
      </c>
      <c r="F211" s="81" t="s">
        <v>3917</v>
      </c>
      <c r="G211" s="82">
        <v>1.014288171E9</v>
      </c>
      <c r="H211" s="78" t="s">
        <v>4093</v>
      </c>
      <c r="I211" s="92" t="s">
        <v>4295</v>
      </c>
      <c r="J211" s="81">
        <v>1.13888925E8</v>
      </c>
      <c r="K211" s="93">
        <v>9000000.0</v>
      </c>
      <c r="L211" s="94">
        <v>45762.0</v>
      </c>
    </row>
    <row r="212">
      <c r="A212" s="77">
        <v>592.0</v>
      </c>
      <c r="B212" s="78" t="s">
        <v>4620</v>
      </c>
      <c r="C212" s="79">
        <v>2.0251000024143E13</v>
      </c>
      <c r="D212" s="78" t="s">
        <v>4851</v>
      </c>
      <c r="E212" s="78" t="s">
        <v>722</v>
      </c>
      <c r="F212" s="81" t="s">
        <v>3917</v>
      </c>
      <c r="G212" s="82">
        <v>1.03117359E9</v>
      </c>
      <c r="H212" s="78" t="s">
        <v>4545</v>
      </c>
      <c r="I212" s="92" t="s">
        <v>657</v>
      </c>
      <c r="J212" s="81">
        <v>1.10143025E8</v>
      </c>
      <c r="K212" s="93">
        <v>6000000.0</v>
      </c>
      <c r="L212" s="94">
        <v>45757.0</v>
      </c>
    </row>
    <row r="213">
      <c r="A213" s="77">
        <v>593.0</v>
      </c>
      <c r="B213" s="78" t="s">
        <v>4620</v>
      </c>
      <c r="C213" s="79">
        <v>2.0251000024153E13</v>
      </c>
      <c r="D213" s="78" t="s">
        <v>4852</v>
      </c>
      <c r="E213" s="78" t="s">
        <v>1159</v>
      </c>
      <c r="F213" s="81" t="s">
        <v>3917</v>
      </c>
      <c r="G213" s="82">
        <v>1.030562466E9</v>
      </c>
      <c r="H213" s="78" t="s">
        <v>4853</v>
      </c>
      <c r="I213" s="92" t="s">
        <v>657</v>
      </c>
      <c r="J213" s="81">
        <v>1.12701225E8</v>
      </c>
      <c r="K213" s="93">
        <v>7087500.0</v>
      </c>
      <c r="L213" s="94">
        <v>45761.0</v>
      </c>
    </row>
    <row r="214">
      <c r="A214" s="77">
        <v>594.0</v>
      </c>
      <c r="B214" s="78" t="s">
        <v>4620</v>
      </c>
      <c r="C214" s="79">
        <v>2.0251020024343E13</v>
      </c>
      <c r="D214" s="78" t="s">
        <v>4854</v>
      </c>
      <c r="E214" s="78" t="s">
        <v>4530</v>
      </c>
      <c r="F214" s="81" t="s">
        <v>3917</v>
      </c>
      <c r="G214" s="82">
        <v>1.016069508E9</v>
      </c>
      <c r="H214" s="78" t="s">
        <v>4531</v>
      </c>
      <c r="I214" s="92" t="s">
        <v>4319</v>
      </c>
      <c r="J214" s="81">
        <v>1.08173525E8</v>
      </c>
      <c r="K214" s="93">
        <v>7087500.0</v>
      </c>
      <c r="L214" s="94">
        <v>45756.0</v>
      </c>
    </row>
    <row r="215">
      <c r="A215" s="77">
        <v>595.0</v>
      </c>
      <c r="B215" s="78" t="s">
        <v>4620</v>
      </c>
      <c r="C215" s="79">
        <v>2.0251000024503E13</v>
      </c>
      <c r="D215" s="78" t="s">
        <v>4855</v>
      </c>
      <c r="E215" s="78" t="s">
        <v>1053</v>
      </c>
      <c r="F215" s="81" t="s">
        <v>3917</v>
      </c>
      <c r="G215" s="82">
        <v>1.070969778E9</v>
      </c>
      <c r="H215" s="78" t="s">
        <v>4520</v>
      </c>
      <c r="I215" s="92" t="s">
        <v>2663</v>
      </c>
      <c r="J215" s="81">
        <v>1.08200025E8</v>
      </c>
      <c r="K215" s="93">
        <v>6000000.0</v>
      </c>
      <c r="L215" s="94">
        <v>45756.0</v>
      </c>
    </row>
    <row r="216">
      <c r="A216" s="77">
        <v>596.0</v>
      </c>
      <c r="B216" s="78" t="s">
        <v>4620</v>
      </c>
      <c r="C216" s="79">
        <v>2.0251800024543E13</v>
      </c>
      <c r="D216" s="78" t="s">
        <v>4856</v>
      </c>
      <c r="E216" s="78" t="s">
        <v>538</v>
      </c>
      <c r="F216" s="81" t="s">
        <v>3917</v>
      </c>
      <c r="G216" s="82">
        <v>8.7949267E7</v>
      </c>
      <c r="H216" s="78" t="s">
        <v>4172</v>
      </c>
      <c r="I216" s="92" t="s">
        <v>4339</v>
      </c>
      <c r="J216" s="81">
        <v>1.08199025E8</v>
      </c>
      <c r="K216" s="93">
        <v>4026000.0</v>
      </c>
      <c r="L216" s="94">
        <v>45756.0</v>
      </c>
    </row>
    <row r="217">
      <c r="A217" s="77">
        <v>597.0</v>
      </c>
      <c r="B217" s="78" t="s">
        <v>4620</v>
      </c>
      <c r="C217" s="79">
        <v>2.0251610024173E13</v>
      </c>
      <c r="D217" s="78" t="s">
        <v>4857</v>
      </c>
      <c r="E217" s="78" t="s">
        <v>1072</v>
      </c>
      <c r="F217" s="81" t="s">
        <v>3917</v>
      </c>
      <c r="G217" s="82">
        <v>1.113638043E9</v>
      </c>
      <c r="H217" s="78" t="s">
        <v>4543</v>
      </c>
      <c r="I217" s="92" t="s">
        <v>874</v>
      </c>
      <c r="J217" s="81">
        <v>1.13884225E8</v>
      </c>
      <c r="K217" s="93">
        <v>8650000.0</v>
      </c>
      <c r="L217" s="94">
        <v>45762.0</v>
      </c>
    </row>
    <row r="218">
      <c r="A218" s="77">
        <v>598.0</v>
      </c>
      <c r="B218" s="78" t="s">
        <v>4620</v>
      </c>
      <c r="C218" s="79">
        <v>2.0251700024643E13</v>
      </c>
      <c r="D218" s="78" t="s">
        <v>4858</v>
      </c>
      <c r="E218" s="107" t="s">
        <v>4556</v>
      </c>
      <c r="F218" s="77" t="s">
        <v>3917</v>
      </c>
      <c r="G218" s="82">
        <v>1.1236019E7</v>
      </c>
      <c r="H218" s="78" t="s">
        <v>4557</v>
      </c>
      <c r="I218" s="92" t="s">
        <v>4269</v>
      </c>
      <c r="J218" s="81">
        <v>1.09775525E8</v>
      </c>
      <c r="K218" s="93">
        <v>5746650.0</v>
      </c>
      <c r="L218" s="94">
        <v>45757.0</v>
      </c>
    </row>
    <row r="219">
      <c r="A219" s="77">
        <v>599.0</v>
      </c>
      <c r="B219" s="78" t="s">
        <v>4620</v>
      </c>
      <c r="C219" s="79">
        <v>2.0251100024653E13</v>
      </c>
      <c r="D219" s="78" t="s">
        <v>4859</v>
      </c>
      <c r="E219" s="105" t="s">
        <v>135</v>
      </c>
      <c r="F219" s="81" t="s">
        <v>3917</v>
      </c>
      <c r="G219" s="82">
        <v>1.013590021E9</v>
      </c>
      <c r="H219" s="78" t="s">
        <v>4156</v>
      </c>
      <c r="I219" s="92" t="s">
        <v>400</v>
      </c>
      <c r="J219" s="81">
        <v>1.09804025E8</v>
      </c>
      <c r="K219" s="93">
        <v>8500000.0</v>
      </c>
      <c r="L219" s="94">
        <v>45757.0</v>
      </c>
    </row>
    <row r="220">
      <c r="A220" s="77">
        <v>600.0</v>
      </c>
      <c r="B220" s="78" t="s">
        <v>4620</v>
      </c>
      <c r="C220" s="79">
        <v>2.0251610024593E13</v>
      </c>
      <c r="D220" s="78" t="s">
        <v>4860</v>
      </c>
      <c r="E220" s="78" t="s">
        <v>875</v>
      </c>
      <c r="F220" s="81" t="s">
        <v>3917</v>
      </c>
      <c r="G220" s="82">
        <v>1.233693111E9</v>
      </c>
      <c r="H220" s="78" t="s">
        <v>4428</v>
      </c>
      <c r="I220" s="92" t="s">
        <v>4426</v>
      </c>
      <c r="J220" s="81">
        <v>1.09774825E8</v>
      </c>
      <c r="K220" s="93">
        <v>4227300.0</v>
      </c>
      <c r="L220" s="94">
        <v>45757.0</v>
      </c>
    </row>
    <row r="221">
      <c r="A221" s="77">
        <v>601.0</v>
      </c>
      <c r="B221" s="78" t="s">
        <v>4620</v>
      </c>
      <c r="C221" s="79">
        <v>2.0251300024683E13</v>
      </c>
      <c r="D221" s="78" t="s">
        <v>4861</v>
      </c>
      <c r="E221" s="78" t="s">
        <v>2749</v>
      </c>
      <c r="F221" s="81" t="s">
        <v>3917</v>
      </c>
      <c r="G221" s="82">
        <v>5.312276E7</v>
      </c>
      <c r="H221" s="78" t="s">
        <v>4052</v>
      </c>
      <c r="I221" s="92" t="s">
        <v>192</v>
      </c>
      <c r="J221" s="81">
        <v>1.09796225E8</v>
      </c>
      <c r="K221" s="93">
        <v>8300000.0</v>
      </c>
      <c r="L221" s="94">
        <v>45757.0</v>
      </c>
    </row>
    <row r="222">
      <c r="A222" s="77">
        <v>602.0</v>
      </c>
      <c r="B222" s="78" t="s">
        <v>4620</v>
      </c>
      <c r="C222" s="79">
        <v>2.0251300024693E13</v>
      </c>
      <c r="D222" s="78" t="s">
        <v>4862</v>
      </c>
      <c r="E222" s="78" t="s">
        <v>329</v>
      </c>
      <c r="F222" s="81" t="s">
        <v>3917</v>
      </c>
      <c r="G222" s="82">
        <v>1.003691415E9</v>
      </c>
      <c r="H222" s="78" t="s">
        <v>4060</v>
      </c>
      <c r="I222" s="92" t="s">
        <v>192</v>
      </c>
      <c r="J222" s="81">
        <v>1.10141025E8</v>
      </c>
      <c r="K222" s="93">
        <v>4372000.0</v>
      </c>
      <c r="L222" s="94">
        <v>45757.0</v>
      </c>
    </row>
    <row r="223">
      <c r="A223" s="77">
        <v>603.0</v>
      </c>
      <c r="B223" s="78" t="s">
        <v>4620</v>
      </c>
      <c r="C223" s="79">
        <v>2.0251610024623E13</v>
      </c>
      <c r="D223" s="78" t="s">
        <v>4863</v>
      </c>
      <c r="E223" s="78" t="s">
        <v>1076</v>
      </c>
      <c r="F223" s="81" t="s">
        <v>3917</v>
      </c>
      <c r="G223" s="82">
        <v>1.088340956E9</v>
      </c>
      <c r="H223" s="78" t="s">
        <v>4435</v>
      </c>
      <c r="I223" s="92" t="s">
        <v>4426</v>
      </c>
      <c r="J223" s="81">
        <v>1.13880325E8</v>
      </c>
      <c r="K223" s="93">
        <v>4819500.0</v>
      </c>
      <c r="L223" s="94">
        <v>45762.0</v>
      </c>
    </row>
    <row r="224">
      <c r="A224" s="77">
        <v>604.0</v>
      </c>
      <c r="B224" s="78" t="s">
        <v>4620</v>
      </c>
      <c r="C224" s="79">
        <v>2.0251020024713E13</v>
      </c>
      <c r="D224" s="78" t="s">
        <v>4864</v>
      </c>
      <c r="E224" s="78" t="s">
        <v>1002</v>
      </c>
      <c r="F224" s="81" t="s">
        <v>3917</v>
      </c>
      <c r="G224" s="82">
        <v>1.015440358E9</v>
      </c>
      <c r="H224" s="78" t="s">
        <v>4581</v>
      </c>
      <c r="I224" s="92" t="s">
        <v>4295</v>
      </c>
      <c r="J224" s="81">
        <v>1.13890825E8</v>
      </c>
      <c r="K224" s="93">
        <v>9677850.0</v>
      </c>
      <c r="L224" s="94">
        <v>45762.0</v>
      </c>
    </row>
    <row r="225">
      <c r="A225" s="77">
        <v>605.0</v>
      </c>
      <c r="B225" s="78" t="s">
        <v>4620</v>
      </c>
      <c r="C225" s="79">
        <v>2.0251300024703E13</v>
      </c>
      <c r="D225" s="78" t="s">
        <v>4865</v>
      </c>
      <c r="E225" s="78" t="s">
        <v>259</v>
      </c>
      <c r="F225" s="81" t="s">
        <v>3917</v>
      </c>
      <c r="G225" s="82">
        <v>1.070924443E9</v>
      </c>
      <c r="H225" s="78" t="s">
        <v>4062</v>
      </c>
      <c r="I225" s="92" t="s">
        <v>192</v>
      </c>
      <c r="J225" s="81">
        <v>1.09737325E8</v>
      </c>
      <c r="K225" s="93">
        <v>4084000.0</v>
      </c>
      <c r="L225" s="94">
        <v>45757.0</v>
      </c>
    </row>
    <row r="226">
      <c r="A226" s="77">
        <v>606.0</v>
      </c>
      <c r="B226" s="78" t="s">
        <v>4620</v>
      </c>
      <c r="C226" s="79">
        <v>2.0251000024523E13</v>
      </c>
      <c r="D226" s="78" t="s">
        <v>4866</v>
      </c>
      <c r="E226" s="78" t="s">
        <v>1041</v>
      </c>
      <c r="F226" s="81" t="s">
        <v>3917</v>
      </c>
      <c r="G226" s="82">
        <v>1.013597889E9</v>
      </c>
      <c r="H226" s="78" t="s">
        <v>4548</v>
      </c>
      <c r="I226" s="92" t="s">
        <v>657</v>
      </c>
      <c r="J226" s="81">
        <v>1.09758225E8</v>
      </c>
      <c r="K226" s="93">
        <v>4500000.0</v>
      </c>
      <c r="L226" s="94">
        <v>45757.0</v>
      </c>
    </row>
    <row r="227">
      <c r="A227" s="77">
        <v>607.0</v>
      </c>
      <c r="B227" s="78" t="s">
        <v>4620</v>
      </c>
      <c r="C227" s="79">
        <v>2.0251000024513E13</v>
      </c>
      <c r="D227" s="78" t="s">
        <v>4867</v>
      </c>
      <c r="E227" s="78" t="s">
        <v>1143</v>
      </c>
      <c r="F227" s="81" t="s">
        <v>3917</v>
      </c>
      <c r="G227" s="82">
        <v>1.00022301E9</v>
      </c>
      <c r="H227" s="78" t="s">
        <v>4607</v>
      </c>
      <c r="I227" s="92" t="s">
        <v>657</v>
      </c>
      <c r="J227" s="81">
        <v>1.12798025E8</v>
      </c>
      <c r="K227" s="93">
        <v>2335200.0</v>
      </c>
      <c r="L227" s="94">
        <v>45761.0</v>
      </c>
    </row>
    <row r="228">
      <c r="A228" s="77">
        <v>608.0</v>
      </c>
      <c r="B228" s="78" t="s">
        <v>4620</v>
      </c>
      <c r="C228" s="79">
        <v>2.0251000024533E13</v>
      </c>
      <c r="D228" s="78" t="s">
        <v>4868</v>
      </c>
      <c r="E228" s="78" t="s">
        <v>2783</v>
      </c>
      <c r="F228" s="81" t="s">
        <v>3917</v>
      </c>
      <c r="G228" s="82">
        <v>1.010101135E9</v>
      </c>
      <c r="H228" s="78" t="s">
        <v>4120</v>
      </c>
      <c r="I228" s="92" t="s">
        <v>657</v>
      </c>
      <c r="J228" s="81">
        <v>1.09765025E8</v>
      </c>
      <c r="K228" s="93">
        <v>5159000.0</v>
      </c>
      <c r="L228" s="94">
        <v>45757.0</v>
      </c>
    </row>
    <row r="229">
      <c r="A229" s="77">
        <v>609.0</v>
      </c>
      <c r="B229" s="78" t="s">
        <v>4620</v>
      </c>
      <c r="C229" s="79">
        <v>2.0251000024843E13</v>
      </c>
      <c r="D229" s="78" t="s">
        <v>4869</v>
      </c>
      <c r="E229" s="78" t="s">
        <v>1104</v>
      </c>
      <c r="F229" s="81" t="s">
        <v>3917</v>
      </c>
      <c r="G229" s="82">
        <v>8.706746E7</v>
      </c>
      <c r="H229" s="78" t="s">
        <v>4619</v>
      </c>
      <c r="I229" s="92" t="s">
        <v>2663</v>
      </c>
      <c r="J229" s="81">
        <v>1.09769725E8</v>
      </c>
      <c r="K229" s="93">
        <v>7000000.0</v>
      </c>
      <c r="L229" s="94">
        <v>45757.0</v>
      </c>
    </row>
    <row r="230">
      <c r="A230" s="77">
        <v>610.0</v>
      </c>
      <c r="B230" s="78" t="s">
        <v>4620</v>
      </c>
      <c r="C230" s="79">
        <v>2.0251000024853E13</v>
      </c>
      <c r="D230" s="78" t="s">
        <v>4870</v>
      </c>
      <c r="E230" s="78" t="s">
        <v>1197</v>
      </c>
      <c r="F230" s="81" t="s">
        <v>3917</v>
      </c>
      <c r="G230" s="82">
        <v>4.5546877E7</v>
      </c>
      <c r="H230" s="78" t="s">
        <v>4871</v>
      </c>
      <c r="I230" s="92" t="s">
        <v>2663</v>
      </c>
      <c r="J230" s="79">
        <v>1.17570325E8</v>
      </c>
      <c r="K230" s="93">
        <v>4250000.0</v>
      </c>
      <c r="L230" s="94">
        <v>45769.0</v>
      </c>
    </row>
    <row r="231">
      <c r="A231" s="77">
        <v>611.0</v>
      </c>
      <c r="B231" s="78" t="s">
        <v>4620</v>
      </c>
      <c r="C231" s="79">
        <v>2.0251300024963E13</v>
      </c>
      <c r="D231" s="78" t="s">
        <v>4872</v>
      </c>
      <c r="E231" s="107" t="s">
        <v>2872</v>
      </c>
      <c r="F231" s="77" t="s">
        <v>3917</v>
      </c>
      <c r="G231" s="82">
        <v>1.024554244E9</v>
      </c>
      <c r="H231" s="78" t="s">
        <v>4085</v>
      </c>
      <c r="I231" s="92" t="s">
        <v>438</v>
      </c>
      <c r="J231" s="81">
        <v>1.09773425E8</v>
      </c>
      <c r="K231" s="93">
        <v>5100000.0</v>
      </c>
      <c r="L231" s="94">
        <v>45757.0</v>
      </c>
    </row>
    <row r="232">
      <c r="A232" s="77">
        <v>612.0</v>
      </c>
      <c r="B232" s="78" t="s">
        <v>4620</v>
      </c>
      <c r="C232" s="79">
        <v>2.0251300024983E13</v>
      </c>
      <c r="D232" s="78" t="s">
        <v>4873</v>
      </c>
      <c r="E232" s="105" t="s">
        <v>439</v>
      </c>
      <c r="F232" s="81" t="s">
        <v>3917</v>
      </c>
      <c r="G232" s="82">
        <v>5.2354579E7</v>
      </c>
      <c r="H232" s="78" t="s">
        <v>4110</v>
      </c>
      <c r="I232" s="92" t="s">
        <v>192</v>
      </c>
      <c r="J232" s="81">
        <v>1.11226325E8</v>
      </c>
      <c r="K232" s="93">
        <v>4500000.0</v>
      </c>
      <c r="L232" s="94">
        <v>45758.0</v>
      </c>
    </row>
    <row r="233">
      <c r="A233" s="77">
        <v>614.0</v>
      </c>
      <c r="B233" s="78" t="s">
        <v>4620</v>
      </c>
      <c r="C233" s="79">
        <v>2.0251300025023E13</v>
      </c>
      <c r="D233" s="78" t="s">
        <v>4874</v>
      </c>
      <c r="E233" s="78" t="s">
        <v>333</v>
      </c>
      <c r="F233" s="81" t="s">
        <v>3917</v>
      </c>
      <c r="G233" s="82">
        <v>8.0027001E7</v>
      </c>
      <c r="H233" s="78" t="s">
        <v>3985</v>
      </c>
      <c r="I233" s="92" t="s">
        <v>4392</v>
      </c>
      <c r="J233" s="81">
        <v>1.10143325E8</v>
      </c>
      <c r="K233" s="93">
        <v>7000000.0</v>
      </c>
      <c r="L233" s="94">
        <v>45757.0</v>
      </c>
    </row>
    <row r="234">
      <c r="A234" s="77">
        <v>615.0</v>
      </c>
      <c r="B234" s="78" t="s">
        <v>4620</v>
      </c>
      <c r="C234" s="79">
        <v>2.0251020024973E13</v>
      </c>
      <c r="D234" s="78" t="s">
        <v>4875</v>
      </c>
      <c r="E234" s="78" t="s">
        <v>658</v>
      </c>
      <c r="F234" s="81" t="s">
        <v>3917</v>
      </c>
      <c r="G234" s="82">
        <v>7.9598641E7</v>
      </c>
      <c r="H234" s="78" t="s">
        <v>4388</v>
      </c>
      <c r="I234" s="92" t="s">
        <v>4295</v>
      </c>
      <c r="J234" s="79">
        <v>1.15260825E8</v>
      </c>
      <c r="K234" s="93">
        <v>8569000.0</v>
      </c>
      <c r="L234" s="94">
        <v>45768.0</v>
      </c>
    </row>
    <row r="235">
      <c r="A235" s="77">
        <v>616.0</v>
      </c>
      <c r="B235" s="78" t="s">
        <v>4620</v>
      </c>
      <c r="C235" s="79">
        <v>2.0251130024923E13</v>
      </c>
      <c r="D235" s="78" t="s">
        <v>4876</v>
      </c>
      <c r="E235" s="78" t="s">
        <v>1169</v>
      </c>
      <c r="F235" s="81" t="s">
        <v>3917</v>
      </c>
      <c r="G235" s="82">
        <v>5.2959805E7</v>
      </c>
      <c r="H235" s="78" t="s">
        <v>4877</v>
      </c>
      <c r="I235" s="92" t="s">
        <v>274</v>
      </c>
      <c r="J235" s="81">
        <v>1.11231025E8</v>
      </c>
      <c r="K235" s="93">
        <v>5961332.0</v>
      </c>
      <c r="L235" s="94">
        <v>45758.0</v>
      </c>
    </row>
    <row r="236">
      <c r="A236" s="77">
        <v>617.0</v>
      </c>
      <c r="B236" s="78" t="s">
        <v>4620</v>
      </c>
      <c r="C236" s="79">
        <v>2.0251020025033E13</v>
      </c>
      <c r="D236" s="78" t="s">
        <v>4878</v>
      </c>
      <c r="E236" s="107" t="s">
        <v>1151</v>
      </c>
      <c r="F236" s="77" t="s">
        <v>4127</v>
      </c>
      <c r="G236" s="82">
        <v>9.0145582E8</v>
      </c>
      <c r="H236" s="78" t="s">
        <v>4879</v>
      </c>
      <c r="I236" s="92" t="s">
        <v>4295</v>
      </c>
      <c r="J236" s="79">
        <v>1.17519825E8</v>
      </c>
      <c r="K236" s="93">
        <v>1.0833333E7</v>
      </c>
      <c r="L236" s="94">
        <v>45769.0</v>
      </c>
    </row>
    <row r="237">
      <c r="A237" s="77">
        <v>618.0</v>
      </c>
      <c r="B237" s="78" t="s">
        <v>4620</v>
      </c>
      <c r="C237" s="79">
        <v>2.0251300025043E13</v>
      </c>
      <c r="D237" s="78" t="s">
        <v>4880</v>
      </c>
      <c r="E237" s="105" t="s">
        <v>810</v>
      </c>
      <c r="F237" s="81" t="s">
        <v>3917</v>
      </c>
      <c r="G237" s="82">
        <v>1.062425689E9</v>
      </c>
      <c r="H237" s="78" t="s">
        <v>4616</v>
      </c>
      <c r="I237" s="92" t="s">
        <v>192</v>
      </c>
      <c r="J237" s="81">
        <v>1.11235325E8</v>
      </c>
      <c r="K237" s="93">
        <v>1940400.0</v>
      </c>
      <c r="L237" s="94">
        <v>45758.0</v>
      </c>
    </row>
    <row r="238">
      <c r="A238" s="77">
        <v>619.0</v>
      </c>
      <c r="B238" s="78" t="s">
        <v>4620</v>
      </c>
      <c r="C238" s="79">
        <v>2.0251000024873E13</v>
      </c>
      <c r="D238" s="78" t="s">
        <v>4881</v>
      </c>
      <c r="E238" s="78" t="s">
        <v>2836</v>
      </c>
      <c r="F238" s="81" t="s">
        <v>3917</v>
      </c>
      <c r="G238" s="82">
        <v>1.01428721E9</v>
      </c>
      <c r="H238" s="78" t="s">
        <v>4140</v>
      </c>
      <c r="I238" s="92" t="s">
        <v>657</v>
      </c>
      <c r="J238" s="79" t="s">
        <v>4882</v>
      </c>
      <c r="K238" s="93">
        <v>8087350.0</v>
      </c>
      <c r="L238" s="94">
        <v>45770.0</v>
      </c>
    </row>
    <row r="239">
      <c r="A239" s="77">
        <v>620.0</v>
      </c>
      <c r="B239" s="78" t="s">
        <v>4620</v>
      </c>
      <c r="C239" s="79">
        <v>2.0251130025113E13</v>
      </c>
      <c r="D239" s="78" t="s">
        <v>4883</v>
      </c>
      <c r="E239" s="78" t="s">
        <v>1155</v>
      </c>
      <c r="F239" s="81" t="s">
        <v>3917</v>
      </c>
      <c r="G239" s="82">
        <v>5.2220531E7</v>
      </c>
      <c r="H239" s="78" t="s">
        <v>4884</v>
      </c>
      <c r="I239" s="92" t="s">
        <v>274</v>
      </c>
      <c r="J239" s="81">
        <v>1.11256125E8</v>
      </c>
      <c r="K239" s="93">
        <v>7153600.0</v>
      </c>
      <c r="L239" s="94">
        <v>45758.0</v>
      </c>
    </row>
    <row r="240">
      <c r="A240" s="77">
        <v>621.0</v>
      </c>
      <c r="B240" s="78" t="s">
        <v>4620</v>
      </c>
      <c r="C240" s="79">
        <v>2.0251300025073E13</v>
      </c>
      <c r="D240" s="78" t="s">
        <v>4885</v>
      </c>
      <c r="E240" s="78" t="s">
        <v>4124</v>
      </c>
      <c r="F240" s="81" t="s">
        <v>3917</v>
      </c>
      <c r="G240" s="82">
        <v>8.0797794E7</v>
      </c>
      <c r="H240" s="78" t="s">
        <v>4125</v>
      </c>
      <c r="I240" s="92" t="s">
        <v>593</v>
      </c>
      <c r="J240" s="81">
        <v>1.12782825E8</v>
      </c>
      <c r="K240" s="93">
        <v>6000000.0</v>
      </c>
      <c r="L240" s="94">
        <v>45758.0</v>
      </c>
    </row>
    <row r="241">
      <c r="A241" s="77">
        <v>622.0</v>
      </c>
      <c r="B241" s="78" t="s">
        <v>4620</v>
      </c>
      <c r="C241" s="79">
        <v>2.0251000025143E13</v>
      </c>
      <c r="D241" s="78" t="s">
        <v>4886</v>
      </c>
      <c r="E241" s="78" t="s">
        <v>1190</v>
      </c>
      <c r="F241" s="81" t="s">
        <v>3917</v>
      </c>
      <c r="G241" s="82">
        <v>1.013658948E9</v>
      </c>
      <c r="H241" s="78" t="s">
        <v>4887</v>
      </c>
      <c r="I241" s="92" t="s">
        <v>2663</v>
      </c>
      <c r="J241" s="81">
        <v>1.12788125E8</v>
      </c>
      <c r="K241" s="93">
        <v>5931333.0</v>
      </c>
      <c r="L241" s="94">
        <v>45761.0</v>
      </c>
    </row>
    <row r="242">
      <c r="A242" s="77">
        <v>623.0</v>
      </c>
      <c r="B242" s="78" t="s">
        <v>4620</v>
      </c>
      <c r="C242" s="79">
        <v>2.0251000025153E13</v>
      </c>
      <c r="D242" s="78" t="s">
        <v>4888</v>
      </c>
      <c r="E242" s="78" t="s">
        <v>1049</v>
      </c>
      <c r="F242" s="81" t="s">
        <v>3917</v>
      </c>
      <c r="G242" s="82">
        <v>5.2802056E7</v>
      </c>
      <c r="H242" s="78" t="s">
        <v>4526</v>
      </c>
      <c r="I242" s="92" t="s">
        <v>2663</v>
      </c>
      <c r="J242" s="81" t="s">
        <v>4889</v>
      </c>
      <c r="K242" s="93">
        <v>7901675.0</v>
      </c>
      <c r="L242" s="94">
        <v>45761.0</v>
      </c>
    </row>
    <row r="243">
      <c r="A243" s="77">
        <v>624.0</v>
      </c>
      <c r="B243" s="78" t="s">
        <v>4620</v>
      </c>
      <c r="C243" s="79">
        <v>2.0251110025133E13</v>
      </c>
      <c r="D243" s="78" t="s">
        <v>4890</v>
      </c>
      <c r="E243" s="78" t="s">
        <v>79</v>
      </c>
      <c r="F243" s="81" t="s">
        <v>4127</v>
      </c>
      <c r="G243" s="98">
        <v>8.11009788E8</v>
      </c>
      <c r="H243" s="78" t="s">
        <v>4166</v>
      </c>
      <c r="I243" s="92" t="s">
        <v>146</v>
      </c>
      <c r="J243" s="81">
        <v>1.01151925E8</v>
      </c>
      <c r="K243" s="93">
        <v>294015.02</v>
      </c>
      <c r="L243" s="94">
        <v>45763.0</v>
      </c>
    </row>
    <row r="244">
      <c r="A244" s="77">
        <v>625.0</v>
      </c>
      <c r="B244" s="78" t="s">
        <v>4620</v>
      </c>
      <c r="C244" s="79">
        <v>2.0251900025173E13</v>
      </c>
      <c r="D244" s="78" t="s">
        <v>4891</v>
      </c>
      <c r="E244" s="78" t="s">
        <v>567</v>
      </c>
      <c r="F244" s="81" t="s">
        <v>3917</v>
      </c>
      <c r="G244" s="82">
        <v>7.9434157E7</v>
      </c>
      <c r="H244" s="78" t="s">
        <v>4168</v>
      </c>
      <c r="I244" s="92" t="s">
        <v>571</v>
      </c>
      <c r="J244" s="81">
        <v>1.12802725E8</v>
      </c>
      <c r="K244" s="93">
        <v>4000000.0</v>
      </c>
      <c r="L244" s="94">
        <v>45761.0</v>
      </c>
    </row>
    <row r="245">
      <c r="A245" s="77">
        <v>626.0</v>
      </c>
      <c r="B245" s="78" t="s">
        <v>4620</v>
      </c>
      <c r="C245" s="79">
        <v>2.0251110025523E13</v>
      </c>
      <c r="D245" s="78" t="s">
        <v>4892</v>
      </c>
      <c r="E245" s="78" t="s">
        <v>4563</v>
      </c>
      <c r="F245" s="81" t="s">
        <v>4127</v>
      </c>
      <c r="G245" s="98">
        <v>9.00586128E8</v>
      </c>
      <c r="H245" s="78" t="s">
        <v>4564</v>
      </c>
      <c r="I245" s="92" t="s">
        <v>524</v>
      </c>
      <c r="J245" s="81">
        <v>1.12815125E8</v>
      </c>
      <c r="K245" s="93">
        <v>4558480.0</v>
      </c>
      <c r="L245" s="94">
        <v>45761.0</v>
      </c>
    </row>
    <row r="246">
      <c r="A246" s="77">
        <v>627.0</v>
      </c>
      <c r="B246" s="78" t="s">
        <v>4620</v>
      </c>
      <c r="C246" s="79">
        <v>2.0251110025533E13</v>
      </c>
      <c r="D246" s="78" t="s">
        <v>4893</v>
      </c>
      <c r="E246" s="78" t="s">
        <v>4563</v>
      </c>
      <c r="F246" s="81" t="s">
        <v>4127</v>
      </c>
      <c r="G246" s="98">
        <v>9.00586128E8</v>
      </c>
      <c r="H246" s="78" t="s">
        <v>4564</v>
      </c>
      <c r="I246" s="92" t="s">
        <v>524</v>
      </c>
      <c r="J246" s="81">
        <v>1.12881925E8</v>
      </c>
      <c r="K246" s="93">
        <v>4558480.0</v>
      </c>
      <c r="L246" s="94">
        <v>45761.0</v>
      </c>
    </row>
    <row r="247">
      <c r="A247" s="77">
        <v>628.0</v>
      </c>
      <c r="B247" s="78" t="s">
        <v>4620</v>
      </c>
      <c r="C247" s="79">
        <v>2.0251900025543E13</v>
      </c>
      <c r="D247" s="78" t="s">
        <v>4894</v>
      </c>
      <c r="E247" s="78" t="s">
        <v>4458</v>
      </c>
      <c r="F247" s="81" t="s">
        <v>3917</v>
      </c>
      <c r="G247" s="82">
        <v>9.1013621E7</v>
      </c>
      <c r="H247" s="78" t="s">
        <v>4459</v>
      </c>
      <c r="I247" s="92" t="s">
        <v>551</v>
      </c>
      <c r="J247" s="81">
        <v>1.13328625E8</v>
      </c>
      <c r="K247" s="93">
        <v>8000000.0</v>
      </c>
      <c r="L247" s="94">
        <v>45761.0</v>
      </c>
    </row>
    <row r="248">
      <c r="A248" s="77">
        <v>629.0</v>
      </c>
      <c r="B248" s="78" t="s">
        <v>4620</v>
      </c>
      <c r="C248" s="79">
        <v>2.0251110025553E13</v>
      </c>
      <c r="D248" s="78" t="s">
        <v>4895</v>
      </c>
      <c r="E248" s="78" t="s">
        <v>4574</v>
      </c>
      <c r="F248" s="81" t="s">
        <v>4127</v>
      </c>
      <c r="G248" s="98">
        <v>8.00193221E8</v>
      </c>
      <c r="H248" s="78" t="s">
        <v>4575</v>
      </c>
      <c r="I248" s="92" t="s">
        <v>524</v>
      </c>
      <c r="J248" s="81">
        <v>1.05050825E8</v>
      </c>
      <c r="K248" s="93">
        <v>1.3672046E7</v>
      </c>
      <c r="L248" s="94">
        <v>45761.0</v>
      </c>
    </row>
    <row r="249">
      <c r="A249" s="77">
        <v>630.0</v>
      </c>
      <c r="B249" s="78" t="s">
        <v>4620</v>
      </c>
      <c r="C249" s="79">
        <v>2.0251900025673E13</v>
      </c>
      <c r="D249" s="78" t="s">
        <v>4896</v>
      </c>
      <c r="E249" s="78" t="s">
        <v>4277</v>
      </c>
      <c r="F249" s="81" t="s">
        <v>3917</v>
      </c>
      <c r="G249" s="82">
        <v>1.032465103E9</v>
      </c>
      <c r="H249" s="78" t="s">
        <v>4278</v>
      </c>
      <c r="I249" s="92" t="s">
        <v>1207</v>
      </c>
      <c r="J249" s="81">
        <v>1.14026125E8</v>
      </c>
      <c r="K249" s="93">
        <v>4000000.0</v>
      </c>
      <c r="L249" s="94">
        <v>45762.0</v>
      </c>
    </row>
    <row r="250">
      <c r="A250" s="77">
        <v>631.0</v>
      </c>
      <c r="B250" s="78" t="s">
        <v>4620</v>
      </c>
      <c r="C250" s="79">
        <v>2.0251000025703E13</v>
      </c>
      <c r="D250" s="78" t="s">
        <v>4897</v>
      </c>
      <c r="E250" s="78" t="s">
        <v>1173</v>
      </c>
      <c r="F250" s="81" t="s">
        <v>3917</v>
      </c>
      <c r="G250" s="82">
        <v>8.0770951E7</v>
      </c>
      <c r="H250" s="78" t="s">
        <v>4898</v>
      </c>
      <c r="I250" s="92" t="s">
        <v>2663</v>
      </c>
      <c r="J250" s="79">
        <v>1.20003825E8</v>
      </c>
      <c r="K250" s="93">
        <v>4830000.0</v>
      </c>
      <c r="L250" s="94">
        <v>45770.0</v>
      </c>
    </row>
    <row r="251">
      <c r="A251" s="77">
        <v>632.0</v>
      </c>
      <c r="B251" s="78" t="s">
        <v>4620</v>
      </c>
      <c r="C251" s="79">
        <v>2.0251000026643E13</v>
      </c>
      <c r="D251" s="78" t="s">
        <v>4899</v>
      </c>
      <c r="E251" s="78" t="s">
        <v>114</v>
      </c>
      <c r="F251" s="81" t="s">
        <v>3917</v>
      </c>
      <c r="G251" s="82">
        <v>5.235846E7</v>
      </c>
      <c r="H251" s="78" t="s">
        <v>4104</v>
      </c>
      <c r="I251" s="92" t="s">
        <v>2663</v>
      </c>
      <c r="J251" s="79">
        <v>1.20004825E8</v>
      </c>
      <c r="K251" s="93">
        <v>8000000.0</v>
      </c>
      <c r="L251" s="94">
        <v>45770.0</v>
      </c>
    </row>
    <row r="252">
      <c r="A252" s="77">
        <v>634.0</v>
      </c>
      <c r="B252" s="78" t="s">
        <v>4620</v>
      </c>
      <c r="C252" s="79">
        <v>2.0251700026773E13</v>
      </c>
      <c r="D252" s="78" t="s">
        <v>4900</v>
      </c>
      <c r="E252" s="78" t="s">
        <v>1025</v>
      </c>
      <c r="F252" s="81" t="s">
        <v>3917</v>
      </c>
      <c r="G252" s="98">
        <v>1.018481914E9</v>
      </c>
      <c r="H252" s="78" t="s">
        <v>4350</v>
      </c>
      <c r="I252" s="78" t="s">
        <v>4351</v>
      </c>
      <c r="J252" s="79">
        <v>1.23518725E8</v>
      </c>
      <c r="K252" s="93">
        <v>3064880.0</v>
      </c>
      <c r="L252" s="94">
        <v>45772.0</v>
      </c>
    </row>
    <row r="253">
      <c r="A253" s="77">
        <v>635.0</v>
      </c>
      <c r="B253" s="78" t="s">
        <v>4620</v>
      </c>
      <c r="C253" s="79">
        <v>2.0251120026803E13</v>
      </c>
      <c r="D253" s="78" t="s">
        <v>4901</v>
      </c>
      <c r="E253" s="78" t="s">
        <v>4186</v>
      </c>
      <c r="F253" s="81" t="s">
        <v>4127</v>
      </c>
      <c r="G253" s="82">
        <v>8.0015028E8</v>
      </c>
      <c r="H253" s="78" t="s">
        <v>4188</v>
      </c>
      <c r="I253" s="92" t="s">
        <v>4604</v>
      </c>
      <c r="J253" s="81">
        <v>1.29692025E8</v>
      </c>
      <c r="K253" s="93">
        <v>5590085.0</v>
      </c>
      <c r="L253" s="94">
        <v>45776.0</v>
      </c>
    </row>
    <row r="254">
      <c r="A254" s="77">
        <v>636.0</v>
      </c>
      <c r="B254" s="78" t="s">
        <v>4620</v>
      </c>
      <c r="C254" s="79">
        <v>2.0251020026833E13</v>
      </c>
      <c r="D254" s="78" t="s">
        <v>4902</v>
      </c>
      <c r="E254" s="78" t="s">
        <v>4597</v>
      </c>
      <c r="F254" s="81" t="s">
        <v>3917</v>
      </c>
      <c r="G254" s="79">
        <v>1.033711205E9</v>
      </c>
      <c r="H254" s="78" t="s">
        <v>4598</v>
      </c>
      <c r="I254" s="78" t="s">
        <v>4319</v>
      </c>
      <c r="J254" s="79">
        <v>1.23521225E8</v>
      </c>
      <c r="K254" s="93">
        <v>6000000.0</v>
      </c>
      <c r="L254" s="94">
        <v>45772.0</v>
      </c>
    </row>
    <row r="255">
      <c r="A255" s="77">
        <v>637.0</v>
      </c>
      <c r="B255" s="78" t="s">
        <v>4620</v>
      </c>
      <c r="C255" s="78"/>
      <c r="D255" s="78"/>
      <c r="E255" s="78"/>
      <c r="F255" s="81"/>
      <c r="G255" s="82"/>
      <c r="H255" s="78"/>
      <c r="I255" s="92"/>
      <c r="J255" s="81"/>
      <c r="K255" s="81"/>
      <c r="L255" s="100"/>
    </row>
    <row r="256">
      <c r="A256" s="77">
        <v>638.0</v>
      </c>
      <c r="B256" s="78" t="s">
        <v>4620</v>
      </c>
      <c r="C256" s="78"/>
      <c r="D256" s="78"/>
      <c r="E256" s="78"/>
      <c r="F256" s="81"/>
      <c r="G256" s="82"/>
      <c r="H256" s="78"/>
      <c r="I256" s="92"/>
      <c r="J256" s="81"/>
      <c r="K256" s="81"/>
      <c r="L256" s="110"/>
    </row>
    <row r="257">
      <c r="A257" s="77">
        <v>639.0</v>
      </c>
      <c r="B257" s="78" t="s">
        <v>4620</v>
      </c>
      <c r="C257" s="78"/>
      <c r="D257" s="78"/>
      <c r="E257" s="78"/>
      <c r="F257" s="81"/>
      <c r="G257" s="82"/>
      <c r="H257" s="78"/>
      <c r="I257" s="92"/>
      <c r="J257" s="81"/>
      <c r="K257" s="81"/>
      <c r="L257" s="81"/>
    </row>
    <row r="258">
      <c r="A258" s="77">
        <v>640.0</v>
      </c>
      <c r="B258" s="78" t="s">
        <v>4620</v>
      </c>
      <c r="C258" s="78"/>
      <c r="D258" s="78"/>
      <c r="E258" s="78"/>
      <c r="F258" s="81"/>
      <c r="G258" s="82"/>
      <c r="H258" s="78"/>
      <c r="I258" s="92"/>
      <c r="J258" s="81"/>
      <c r="K258" s="81"/>
      <c r="L258" s="81"/>
    </row>
    <row r="259">
      <c r="A259" s="77"/>
      <c r="B259" s="78"/>
      <c r="C259" s="78"/>
      <c r="D259" s="78"/>
      <c r="E259" s="78"/>
      <c r="F259" s="81"/>
      <c r="G259" s="82"/>
      <c r="H259" s="78"/>
      <c r="I259" s="92"/>
      <c r="J259" s="81"/>
      <c r="K259" s="81"/>
      <c r="L259" s="111"/>
    </row>
    <row r="260">
      <c r="A260" s="77"/>
      <c r="B260" s="78"/>
      <c r="C260" s="78"/>
      <c r="D260" s="78"/>
      <c r="E260" s="78"/>
      <c r="F260" s="81"/>
      <c r="G260" s="82"/>
      <c r="H260" s="78"/>
      <c r="I260" s="92"/>
      <c r="J260" s="81"/>
      <c r="K260" s="81"/>
      <c r="L260" s="111"/>
    </row>
    <row r="261">
      <c r="A261" s="77"/>
      <c r="B261" s="78"/>
      <c r="C261" s="78"/>
      <c r="D261" s="78"/>
      <c r="E261" s="78"/>
      <c r="F261" s="81"/>
      <c r="G261" s="82"/>
      <c r="H261" s="78"/>
      <c r="I261" s="92"/>
      <c r="J261" s="81"/>
      <c r="K261" s="81"/>
      <c r="L261" s="111"/>
    </row>
    <row r="262">
      <c r="A262" s="77"/>
      <c r="B262" s="78"/>
      <c r="C262" s="78"/>
      <c r="D262" s="78"/>
      <c r="E262" s="78"/>
      <c r="F262" s="81"/>
      <c r="G262" s="82"/>
      <c r="H262" s="78"/>
      <c r="I262" s="92"/>
      <c r="J262" s="81"/>
      <c r="K262" s="81"/>
      <c r="L262" s="111"/>
    </row>
    <row r="263">
      <c r="A263" s="77"/>
      <c r="B263" s="78"/>
      <c r="C263" s="78"/>
      <c r="D263" s="78"/>
      <c r="E263" s="78"/>
      <c r="F263" s="81"/>
      <c r="G263" s="82"/>
      <c r="H263" s="78"/>
      <c r="I263" s="92"/>
      <c r="J263" s="81"/>
      <c r="K263" s="81"/>
      <c r="L263" s="111"/>
    </row>
    <row r="264">
      <c r="A264" s="77"/>
      <c r="B264" s="78"/>
      <c r="C264" s="78"/>
      <c r="D264" s="78"/>
      <c r="E264" s="78"/>
      <c r="F264" s="81"/>
      <c r="G264" s="82"/>
      <c r="H264" s="78"/>
      <c r="I264" s="92"/>
      <c r="J264" s="81"/>
      <c r="K264" s="81"/>
      <c r="L264" s="111"/>
    </row>
    <row r="265">
      <c r="A265" s="77"/>
      <c r="B265" s="78"/>
      <c r="C265" s="78"/>
      <c r="D265" s="78"/>
      <c r="E265" s="78"/>
      <c r="F265" s="81"/>
      <c r="G265" s="82"/>
      <c r="H265" s="78"/>
      <c r="I265" s="92"/>
      <c r="J265" s="81"/>
      <c r="K265" s="81"/>
      <c r="L265" s="111"/>
    </row>
    <row r="266">
      <c r="A266" s="77"/>
      <c r="B266" s="78"/>
      <c r="C266" s="78"/>
      <c r="D266" s="78"/>
      <c r="E266" s="78"/>
      <c r="F266" s="81"/>
      <c r="G266" s="82"/>
      <c r="H266" s="78"/>
      <c r="I266" s="92"/>
      <c r="J266" s="81"/>
      <c r="K266" s="81"/>
      <c r="L266" s="111"/>
    </row>
    <row r="267">
      <c r="A267" s="77"/>
      <c r="B267" s="78"/>
      <c r="C267" s="78"/>
      <c r="D267" s="78"/>
      <c r="E267" s="78"/>
      <c r="F267" s="81"/>
      <c r="G267" s="82"/>
      <c r="H267" s="78"/>
      <c r="I267" s="92"/>
      <c r="J267" s="81"/>
      <c r="K267" s="81"/>
      <c r="L267" s="111"/>
    </row>
    <row r="268">
      <c r="A268" s="77"/>
      <c r="B268" s="78"/>
      <c r="C268" s="78"/>
      <c r="D268" s="78"/>
      <c r="E268" s="78"/>
      <c r="F268" s="81"/>
      <c r="G268" s="82"/>
      <c r="H268" s="78"/>
      <c r="I268" s="92"/>
      <c r="J268" s="81"/>
      <c r="K268" s="81"/>
      <c r="L268" s="111"/>
    </row>
    <row r="269">
      <c r="A269" s="77"/>
      <c r="B269" s="78"/>
      <c r="C269" s="78"/>
      <c r="D269" s="78"/>
      <c r="E269" s="78"/>
      <c r="F269" s="81"/>
      <c r="G269" s="82"/>
      <c r="H269" s="78"/>
      <c r="I269" s="92"/>
      <c r="J269" s="81"/>
      <c r="K269" s="81"/>
      <c r="L269" s="111"/>
    </row>
    <row r="270">
      <c r="A270" s="77"/>
      <c r="B270" s="78"/>
      <c r="C270" s="78"/>
      <c r="D270" s="78"/>
      <c r="E270" s="78"/>
      <c r="F270" s="81"/>
      <c r="G270" s="82"/>
      <c r="H270" s="78"/>
      <c r="I270" s="92"/>
      <c r="J270" s="81"/>
      <c r="K270" s="81"/>
      <c r="L270" s="111"/>
    </row>
    <row r="271">
      <c r="A271" s="77"/>
      <c r="B271" s="78"/>
      <c r="C271" s="78"/>
      <c r="D271" s="78"/>
      <c r="E271" s="78"/>
      <c r="F271" s="81"/>
      <c r="G271" s="82"/>
      <c r="H271" s="78"/>
      <c r="I271" s="92"/>
      <c r="J271" s="81"/>
      <c r="K271" s="81"/>
      <c r="L271" s="111"/>
    </row>
    <row r="272">
      <c r="A272" s="77"/>
      <c r="B272" s="78"/>
      <c r="C272" s="78"/>
      <c r="D272" s="78"/>
      <c r="E272" s="78"/>
      <c r="F272" s="81"/>
      <c r="G272" s="82"/>
      <c r="H272" s="78"/>
      <c r="I272" s="92"/>
      <c r="J272" s="81"/>
      <c r="K272" s="81"/>
      <c r="L272" s="111"/>
    </row>
    <row r="273">
      <c r="A273" s="77"/>
      <c r="B273" s="78"/>
      <c r="C273" s="78"/>
      <c r="D273" s="78"/>
      <c r="E273" s="78"/>
      <c r="F273" s="81"/>
      <c r="G273" s="82"/>
      <c r="H273" s="78"/>
      <c r="I273" s="92"/>
      <c r="J273" s="81"/>
      <c r="K273" s="81"/>
      <c r="L273" s="111"/>
    </row>
    <row r="274">
      <c r="A274" s="77"/>
      <c r="B274" s="78"/>
      <c r="C274" s="78"/>
      <c r="D274" s="78"/>
      <c r="E274" s="78"/>
      <c r="F274" s="81"/>
      <c r="G274" s="82"/>
      <c r="H274" s="78"/>
      <c r="I274" s="92"/>
      <c r="J274" s="81"/>
      <c r="K274" s="81"/>
      <c r="L274" s="111"/>
    </row>
    <row r="275">
      <c r="A275" s="77"/>
      <c r="B275" s="78"/>
      <c r="C275" s="78"/>
      <c r="D275" s="78"/>
      <c r="E275" s="78"/>
      <c r="F275" s="81"/>
      <c r="G275" s="82"/>
      <c r="H275" s="78"/>
      <c r="I275" s="92"/>
      <c r="J275" s="81"/>
      <c r="K275" s="81"/>
      <c r="L275" s="111"/>
    </row>
    <row r="276">
      <c r="A276" s="77"/>
      <c r="B276" s="78"/>
      <c r="C276" s="78"/>
      <c r="D276" s="78"/>
      <c r="E276" s="78"/>
      <c r="F276" s="81"/>
      <c r="G276" s="82"/>
      <c r="H276" s="78"/>
      <c r="I276" s="92"/>
      <c r="J276" s="81"/>
      <c r="K276" s="81"/>
      <c r="L276" s="111"/>
    </row>
    <row r="277">
      <c r="A277" s="77"/>
      <c r="B277" s="78"/>
      <c r="C277" s="78"/>
      <c r="D277" s="78"/>
      <c r="E277" s="78"/>
      <c r="F277" s="81"/>
      <c r="G277" s="82"/>
      <c r="H277" s="78"/>
      <c r="I277" s="92"/>
      <c r="J277" s="81"/>
      <c r="K277" s="81"/>
      <c r="L277" s="111"/>
    </row>
    <row r="278">
      <c r="A278" s="77"/>
      <c r="B278" s="78"/>
      <c r="C278" s="78"/>
      <c r="D278" s="78"/>
      <c r="E278" s="78"/>
      <c r="F278" s="81"/>
      <c r="G278" s="82"/>
      <c r="H278" s="78"/>
      <c r="I278" s="92"/>
      <c r="J278" s="81"/>
      <c r="K278" s="81"/>
      <c r="L278" s="111"/>
    </row>
    <row r="279">
      <c r="A279" s="77"/>
      <c r="B279" s="78"/>
      <c r="C279" s="78"/>
      <c r="D279" s="78"/>
      <c r="E279" s="78"/>
      <c r="F279" s="81"/>
      <c r="G279" s="82"/>
      <c r="H279" s="78"/>
      <c r="I279" s="92"/>
      <c r="J279" s="81"/>
      <c r="K279" s="81"/>
      <c r="L279" s="111"/>
    </row>
    <row r="280">
      <c r="A280" s="77"/>
      <c r="B280" s="78"/>
      <c r="C280" s="78"/>
      <c r="D280" s="78"/>
      <c r="E280" s="78"/>
      <c r="F280" s="81"/>
      <c r="G280" s="82"/>
      <c r="H280" s="78"/>
      <c r="I280" s="92"/>
      <c r="J280" s="81"/>
      <c r="K280" s="81"/>
      <c r="L280" s="111"/>
    </row>
    <row r="281">
      <c r="A281" s="77"/>
      <c r="B281" s="78"/>
      <c r="C281" s="78"/>
      <c r="D281" s="78"/>
      <c r="E281" s="78"/>
      <c r="F281" s="81"/>
      <c r="G281" s="82"/>
      <c r="H281" s="78"/>
      <c r="I281" s="92"/>
      <c r="J281" s="81"/>
      <c r="K281" s="81"/>
      <c r="L281" s="111"/>
    </row>
    <row r="282">
      <c r="A282" s="77"/>
      <c r="B282" s="78"/>
      <c r="C282" s="78"/>
      <c r="D282" s="78"/>
      <c r="E282" s="78"/>
      <c r="F282" s="81"/>
      <c r="G282" s="82"/>
      <c r="H282" s="78"/>
      <c r="I282" s="92"/>
      <c r="J282" s="81"/>
      <c r="K282" s="81"/>
      <c r="L282" s="111"/>
    </row>
    <row r="283">
      <c r="A283" s="77"/>
      <c r="B283" s="78"/>
      <c r="C283" s="78"/>
      <c r="D283" s="78"/>
      <c r="E283" s="78"/>
      <c r="F283" s="81"/>
      <c r="G283" s="82"/>
      <c r="H283" s="78"/>
      <c r="I283" s="92"/>
      <c r="J283" s="81"/>
      <c r="K283" s="81"/>
      <c r="L283" s="111"/>
    </row>
    <row r="284">
      <c r="A284" s="77"/>
      <c r="B284" s="78"/>
      <c r="C284" s="78"/>
      <c r="D284" s="78"/>
      <c r="E284" s="78"/>
      <c r="F284" s="81"/>
      <c r="G284" s="82"/>
      <c r="H284" s="78"/>
      <c r="I284" s="92"/>
      <c r="J284" s="81"/>
      <c r="K284" s="81"/>
      <c r="L284" s="111"/>
    </row>
    <row r="285">
      <c r="A285" s="77"/>
      <c r="B285" s="78"/>
      <c r="C285" s="78"/>
      <c r="D285" s="78"/>
      <c r="E285" s="78"/>
      <c r="F285" s="81"/>
      <c r="G285" s="82"/>
      <c r="H285" s="78"/>
      <c r="I285" s="92"/>
      <c r="J285" s="81"/>
      <c r="K285" s="81"/>
      <c r="L285" s="111"/>
    </row>
    <row r="286">
      <c r="A286" s="77"/>
      <c r="B286" s="78"/>
      <c r="C286" s="78"/>
      <c r="D286" s="78"/>
      <c r="E286" s="78"/>
      <c r="F286" s="81"/>
      <c r="G286" s="82"/>
      <c r="H286" s="78"/>
      <c r="I286" s="92"/>
      <c r="J286" s="81"/>
      <c r="K286" s="81"/>
      <c r="L286" s="111"/>
    </row>
    <row r="287">
      <c r="A287" s="77"/>
      <c r="B287" s="78"/>
      <c r="C287" s="78"/>
      <c r="D287" s="78"/>
      <c r="E287" s="78"/>
      <c r="F287" s="81"/>
      <c r="G287" s="82"/>
      <c r="H287" s="78"/>
      <c r="I287" s="92"/>
      <c r="J287" s="81"/>
      <c r="K287" s="81"/>
      <c r="L287" s="81"/>
    </row>
    <row r="288">
      <c r="A288" s="77"/>
      <c r="B288" s="78"/>
      <c r="C288" s="78"/>
      <c r="D288" s="78"/>
      <c r="E288" s="78"/>
      <c r="F288" s="81"/>
      <c r="G288" s="82"/>
      <c r="H288" s="78"/>
      <c r="I288" s="92"/>
      <c r="J288" s="81"/>
      <c r="K288" s="81"/>
      <c r="L288" s="81"/>
    </row>
    <row r="289">
      <c r="A289" s="77"/>
      <c r="B289" s="78"/>
      <c r="C289" s="78"/>
      <c r="D289" s="78"/>
      <c r="E289" s="78"/>
      <c r="F289" s="81"/>
      <c r="G289" s="82"/>
      <c r="H289" s="78"/>
      <c r="I289" s="92"/>
      <c r="J289" s="81"/>
      <c r="K289" s="81"/>
      <c r="L289" s="81"/>
    </row>
    <row r="290">
      <c r="A290" s="77"/>
      <c r="B290" s="78"/>
      <c r="C290" s="78"/>
      <c r="D290" s="78"/>
      <c r="E290" s="78"/>
      <c r="F290" s="81"/>
      <c r="G290" s="82"/>
      <c r="H290" s="78"/>
      <c r="I290" s="92"/>
      <c r="J290" s="81"/>
      <c r="K290" s="81"/>
      <c r="L290" s="81"/>
    </row>
    <row r="291">
      <c r="A291" s="77"/>
      <c r="B291" s="78"/>
      <c r="C291" s="78"/>
      <c r="D291" s="78"/>
      <c r="E291" s="78"/>
      <c r="F291" s="81"/>
      <c r="G291" s="82"/>
      <c r="H291" s="78"/>
      <c r="I291" s="92"/>
      <c r="J291" s="81"/>
      <c r="K291" s="81"/>
      <c r="L291" s="81"/>
    </row>
    <row r="292">
      <c r="A292" s="77"/>
      <c r="B292" s="78"/>
      <c r="C292" s="78"/>
      <c r="D292" s="78"/>
      <c r="E292" s="78"/>
      <c r="F292" s="81"/>
      <c r="G292" s="82"/>
      <c r="H292" s="78"/>
      <c r="I292" s="92"/>
      <c r="J292" s="81"/>
      <c r="K292" s="81"/>
      <c r="L292" s="81"/>
    </row>
    <row r="293">
      <c r="A293" s="77"/>
      <c r="B293" s="78"/>
      <c r="C293" s="78"/>
      <c r="D293" s="78"/>
      <c r="E293" s="78"/>
      <c r="F293" s="81"/>
      <c r="G293" s="82"/>
      <c r="H293" s="78"/>
      <c r="I293" s="92"/>
      <c r="J293" s="81"/>
      <c r="K293" s="81"/>
      <c r="L293" s="81"/>
    </row>
    <row r="294">
      <c r="A294" s="77"/>
      <c r="B294" s="78"/>
      <c r="C294" s="78"/>
      <c r="D294" s="78"/>
      <c r="E294" s="78"/>
      <c r="F294" s="81"/>
      <c r="G294" s="82"/>
      <c r="H294" s="78"/>
      <c r="I294" s="92"/>
      <c r="J294" s="81"/>
      <c r="K294" s="81"/>
      <c r="L294" s="81"/>
    </row>
    <row r="295">
      <c r="A295" s="77"/>
      <c r="B295" s="78"/>
      <c r="C295" s="78"/>
      <c r="D295" s="78"/>
      <c r="E295" s="78"/>
      <c r="F295" s="81"/>
      <c r="G295" s="82"/>
      <c r="H295" s="78"/>
      <c r="I295" s="92"/>
      <c r="J295" s="81"/>
      <c r="K295" s="81"/>
      <c r="L295" s="81"/>
    </row>
    <row r="296">
      <c r="A296" s="77"/>
      <c r="B296" s="78"/>
      <c r="C296" s="78"/>
      <c r="D296" s="78"/>
      <c r="E296" s="78"/>
      <c r="F296" s="81"/>
      <c r="G296" s="82"/>
      <c r="H296" s="78"/>
      <c r="I296" s="81"/>
      <c r="J296" s="81"/>
      <c r="K296" s="81"/>
      <c r="L296" s="81"/>
    </row>
    <row r="297">
      <c r="A297" s="77"/>
      <c r="B297" s="78"/>
      <c r="C297" s="78"/>
      <c r="D297" s="78"/>
      <c r="E297" s="78"/>
      <c r="F297" s="81"/>
      <c r="G297" s="82"/>
      <c r="H297" s="78"/>
      <c r="I297" s="81"/>
      <c r="J297" s="81"/>
      <c r="K297" s="81"/>
      <c r="L297" s="81"/>
    </row>
    <row r="298">
      <c r="A298" s="77"/>
      <c r="B298" s="78"/>
      <c r="C298" s="78"/>
      <c r="D298" s="78"/>
      <c r="E298" s="78"/>
      <c r="F298" s="81"/>
      <c r="G298" s="82"/>
      <c r="H298" s="78"/>
      <c r="I298" s="81"/>
      <c r="J298" s="81"/>
      <c r="K298" s="81"/>
      <c r="L298" s="81"/>
    </row>
    <row r="299">
      <c r="A299" s="77"/>
      <c r="B299" s="78"/>
      <c r="C299" s="78"/>
      <c r="D299" s="78"/>
      <c r="E299" s="78"/>
      <c r="F299" s="81"/>
      <c r="G299" s="82"/>
      <c r="H299" s="78"/>
      <c r="I299" s="81"/>
      <c r="J299" s="81"/>
      <c r="K299" s="81"/>
      <c r="L299" s="81"/>
    </row>
    <row r="300">
      <c r="A300" s="77"/>
      <c r="B300" s="78"/>
      <c r="C300" s="78"/>
      <c r="D300" s="78"/>
      <c r="E300" s="78"/>
      <c r="F300" s="81"/>
      <c r="G300" s="82"/>
      <c r="H300" s="78"/>
      <c r="I300" s="81"/>
      <c r="J300" s="81"/>
      <c r="K300" s="81"/>
      <c r="L300" s="81"/>
    </row>
    <row r="301">
      <c r="A301" s="77"/>
      <c r="B301" s="78"/>
      <c r="C301" s="78"/>
      <c r="D301" s="78"/>
      <c r="E301" s="78"/>
      <c r="F301" s="81"/>
      <c r="G301" s="82"/>
      <c r="H301" s="78"/>
      <c r="I301" s="81"/>
      <c r="J301" s="81"/>
      <c r="K301" s="81"/>
      <c r="L301" s="81"/>
    </row>
    <row r="302">
      <c r="A302" s="77"/>
      <c r="B302" s="78"/>
      <c r="C302" s="78"/>
      <c r="D302" s="78"/>
      <c r="E302" s="78"/>
      <c r="F302" s="81"/>
      <c r="G302" s="82"/>
      <c r="H302" s="78"/>
      <c r="I302" s="81"/>
      <c r="J302" s="81"/>
      <c r="K302" s="81"/>
      <c r="L302" s="81"/>
    </row>
    <row r="303">
      <c r="A303" s="77"/>
      <c r="B303" s="78"/>
      <c r="C303" s="78"/>
      <c r="D303" s="78"/>
      <c r="E303" s="78"/>
      <c r="F303" s="81"/>
      <c r="G303" s="82"/>
      <c r="H303" s="78"/>
      <c r="I303" s="81"/>
      <c r="J303" s="81"/>
      <c r="K303" s="81"/>
      <c r="L303" s="81"/>
    </row>
    <row r="304">
      <c r="A304" s="77"/>
      <c r="B304" s="78"/>
      <c r="C304" s="78"/>
      <c r="D304" s="78"/>
      <c r="E304" s="78"/>
      <c r="F304" s="81"/>
      <c r="G304" s="82"/>
      <c r="H304" s="78"/>
      <c r="I304" s="81"/>
      <c r="J304" s="81"/>
      <c r="K304" s="81"/>
      <c r="L304" s="81"/>
    </row>
    <row r="305">
      <c r="A305" s="77"/>
      <c r="B305" s="78"/>
      <c r="C305" s="78"/>
      <c r="D305" s="78"/>
      <c r="E305" s="78"/>
      <c r="F305" s="81"/>
      <c r="G305" s="82"/>
      <c r="H305" s="78"/>
      <c r="I305" s="81"/>
      <c r="J305" s="81"/>
      <c r="K305" s="81"/>
      <c r="L305" s="81"/>
    </row>
    <row r="306">
      <c r="A306" s="77"/>
      <c r="B306" s="78"/>
      <c r="C306" s="78"/>
      <c r="D306" s="78"/>
      <c r="E306" s="78"/>
      <c r="F306" s="81"/>
      <c r="G306" s="82"/>
      <c r="H306" s="78"/>
      <c r="I306" s="81"/>
      <c r="J306" s="81"/>
      <c r="K306" s="81"/>
      <c r="L306" s="81"/>
    </row>
    <row r="307">
      <c r="A307" s="77"/>
      <c r="B307" s="78"/>
      <c r="C307" s="78"/>
      <c r="D307" s="78"/>
      <c r="E307" s="78"/>
      <c r="F307" s="81"/>
      <c r="G307" s="82"/>
      <c r="H307" s="78"/>
      <c r="I307" s="81"/>
      <c r="J307" s="81"/>
      <c r="K307" s="81"/>
      <c r="L307" s="81"/>
    </row>
    <row r="308">
      <c r="A308" s="77"/>
      <c r="B308" s="78"/>
      <c r="C308" s="78"/>
      <c r="D308" s="78"/>
      <c r="E308" s="78"/>
      <c r="F308" s="81"/>
      <c r="G308" s="82"/>
      <c r="H308" s="78"/>
      <c r="I308" s="81"/>
      <c r="J308" s="81"/>
      <c r="K308" s="81"/>
      <c r="L308" s="81"/>
    </row>
    <row r="309">
      <c r="A309" s="77"/>
      <c r="B309" s="78"/>
      <c r="C309" s="78"/>
      <c r="D309" s="78"/>
      <c r="E309" s="78"/>
      <c r="F309" s="81"/>
      <c r="G309" s="82"/>
      <c r="H309" s="78"/>
      <c r="I309" s="81"/>
      <c r="J309" s="81"/>
      <c r="K309" s="81"/>
      <c r="L309" s="81"/>
    </row>
    <row r="310">
      <c r="A310" s="77"/>
      <c r="B310" s="78"/>
      <c r="C310" s="78"/>
      <c r="D310" s="78"/>
      <c r="E310" s="78"/>
      <c r="F310" s="81"/>
      <c r="G310" s="82"/>
      <c r="H310" s="78"/>
      <c r="I310" s="81"/>
      <c r="J310" s="81"/>
      <c r="K310" s="81"/>
      <c r="L310" s="81"/>
    </row>
    <row r="311">
      <c r="A311" s="77"/>
      <c r="B311" s="78"/>
      <c r="C311" s="78"/>
      <c r="D311" s="78"/>
      <c r="E311" s="78"/>
      <c r="F311" s="81"/>
      <c r="G311" s="82"/>
      <c r="H311" s="78"/>
      <c r="I311" s="81"/>
      <c r="J311" s="81"/>
      <c r="K311" s="81"/>
      <c r="L311" s="81"/>
    </row>
    <row r="312">
      <c r="A312" s="77"/>
      <c r="B312" s="78"/>
      <c r="C312" s="78"/>
      <c r="D312" s="78"/>
      <c r="E312" s="78"/>
      <c r="F312" s="81"/>
      <c r="G312" s="82"/>
      <c r="H312" s="78"/>
      <c r="I312" s="81"/>
      <c r="J312" s="81"/>
      <c r="K312" s="81"/>
      <c r="L312" s="81"/>
    </row>
    <row r="313">
      <c r="A313" s="77"/>
      <c r="B313" s="78"/>
      <c r="C313" s="78"/>
      <c r="D313" s="78"/>
      <c r="E313" s="78"/>
      <c r="F313" s="81"/>
      <c r="G313" s="82"/>
      <c r="H313" s="78"/>
      <c r="I313" s="81"/>
      <c r="J313" s="81"/>
      <c r="K313" s="81"/>
      <c r="L313" s="81"/>
    </row>
    <row r="314">
      <c r="A314" s="77"/>
      <c r="B314" s="78"/>
      <c r="C314" s="78"/>
      <c r="D314" s="78"/>
      <c r="E314" s="78"/>
      <c r="F314" s="81"/>
      <c r="G314" s="82"/>
      <c r="H314" s="78"/>
      <c r="I314" s="81"/>
      <c r="J314" s="81"/>
      <c r="K314" s="81"/>
      <c r="L314" s="81"/>
    </row>
    <row r="315">
      <c r="A315" s="77"/>
      <c r="B315" s="78"/>
      <c r="C315" s="78"/>
      <c r="D315" s="78"/>
      <c r="E315" s="78"/>
      <c r="F315" s="81"/>
      <c r="G315" s="82"/>
      <c r="H315" s="78"/>
      <c r="I315" s="81"/>
      <c r="J315" s="81"/>
      <c r="K315" s="81"/>
      <c r="L315" s="81"/>
    </row>
    <row r="316">
      <c r="A316" s="77"/>
      <c r="B316" s="78"/>
      <c r="C316" s="78"/>
      <c r="D316" s="78"/>
      <c r="E316" s="78"/>
      <c r="F316" s="81"/>
      <c r="G316" s="82"/>
      <c r="H316" s="78"/>
      <c r="I316" s="81"/>
      <c r="J316" s="81"/>
      <c r="K316" s="81"/>
      <c r="L316" s="81"/>
    </row>
    <row r="317">
      <c r="A317" s="77"/>
      <c r="B317" s="78"/>
      <c r="C317" s="78"/>
      <c r="D317" s="78"/>
      <c r="E317" s="78"/>
      <c r="F317" s="81"/>
      <c r="G317" s="82"/>
      <c r="H317" s="78"/>
      <c r="I317" s="81"/>
      <c r="J317" s="81"/>
      <c r="K317" s="81"/>
      <c r="L317" s="81"/>
    </row>
    <row r="318">
      <c r="A318" s="77"/>
      <c r="B318" s="78"/>
      <c r="C318" s="78"/>
      <c r="D318" s="78"/>
      <c r="E318" s="78"/>
      <c r="F318" s="81"/>
      <c r="G318" s="82"/>
      <c r="H318" s="78"/>
      <c r="I318" s="81"/>
      <c r="J318" s="81"/>
      <c r="K318" s="81"/>
      <c r="L318" s="81"/>
    </row>
    <row r="319">
      <c r="A319" s="77"/>
      <c r="B319" s="78"/>
      <c r="C319" s="78"/>
      <c r="D319" s="78"/>
      <c r="E319" s="78"/>
      <c r="F319" s="81"/>
      <c r="G319" s="82"/>
      <c r="H319" s="78"/>
      <c r="I319" s="81"/>
      <c r="J319" s="81"/>
      <c r="K319" s="81"/>
      <c r="L319" s="81"/>
    </row>
    <row r="320">
      <c r="A320" s="77"/>
      <c r="B320" s="78"/>
      <c r="C320" s="78"/>
      <c r="D320" s="78"/>
      <c r="E320" s="78"/>
      <c r="F320" s="81"/>
      <c r="G320" s="82"/>
      <c r="H320" s="78"/>
      <c r="I320" s="81"/>
      <c r="J320" s="81"/>
      <c r="K320" s="81"/>
      <c r="L320" s="81"/>
    </row>
    <row r="321">
      <c r="A321" s="77"/>
      <c r="B321" s="78"/>
      <c r="C321" s="78"/>
      <c r="D321" s="78"/>
      <c r="E321" s="78"/>
      <c r="F321" s="81"/>
      <c r="G321" s="82"/>
      <c r="H321" s="78"/>
      <c r="I321" s="81"/>
      <c r="J321" s="81"/>
      <c r="K321" s="81"/>
      <c r="L321" s="81"/>
    </row>
    <row r="322">
      <c r="A322" s="77"/>
      <c r="B322" s="78"/>
      <c r="C322" s="78"/>
      <c r="D322" s="78"/>
      <c r="E322" s="78"/>
      <c r="F322" s="81"/>
      <c r="G322" s="82"/>
      <c r="H322" s="78"/>
      <c r="I322" s="81"/>
      <c r="J322" s="81"/>
      <c r="K322" s="81"/>
      <c r="L322" s="81"/>
    </row>
    <row r="323">
      <c r="A323" s="77"/>
      <c r="B323" s="78"/>
      <c r="C323" s="78"/>
      <c r="D323" s="78"/>
      <c r="E323" s="78"/>
      <c r="F323" s="81"/>
      <c r="G323" s="82"/>
      <c r="H323" s="78"/>
      <c r="I323" s="81"/>
      <c r="J323" s="81"/>
      <c r="K323" s="81"/>
      <c r="L323" s="81"/>
    </row>
    <row r="324">
      <c r="A324" s="77"/>
      <c r="B324" s="78"/>
      <c r="C324" s="78"/>
      <c r="D324" s="78"/>
      <c r="E324" s="78"/>
      <c r="F324" s="81"/>
      <c r="G324" s="82"/>
      <c r="H324" s="78"/>
      <c r="I324" s="81"/>
      <c r="J324" s="81"/>
      <c r="K324" s="81"/>
      <c r="L324" s="81"/>
    </row>
    <row r="325">
      <c r="A325" s="77"/>
      <c r="B325" s="78"/>
      <c r="C325" s="78"/>
      <c r="D325" s="78"/>
      <c r="E325" s="78"/>
      <c r="F325" s="81"/>
      <c r="G325" s="82"/>
      <c r="H325" s="78"/>
      <c r="I325" s="81"/>
      <c r="J325" s="81"/>
      <c r="K325" s="81"/>
      <c r="L325" s="81"/>
    </row>
    <row r="326">
      <c r="A326" s="77"/>
      <c r="B326" s="78"/>
      <c r="C326" s="78"/>
      <c r="D326" s="78"/>
      <c r="E326" s="78"/>
      <c r="F326" s="81"/>
      <c r="G326" s="82"/>
      <c r="H326" s="78"/>
      <c r="I326" s="81"/>
      <c r="J326" s="81"/>
      <c r="K326" s="81"/>
      <c r="L326" s="81"/>
    </row>
    <row r="327">
      <c r="A327" s="77"/>
      <c r="B327" s="78"/>
      <c r="C327" s="78"/>
      <c r="D327" s="78"/>
      <c r="E327" s="78"/>
      <c r="F327" s="81"/>
      <c r="G327" s="82"/>
      <c r="H327" s="78"/>
      <c r="I327" s="81"/>
      <c r="J327" s="81"/>
      <c r="K327" s="81"/>
      <c r="L327" s="81"/>
    </row>
    <row r="328">
      <c r="A328" s="77"/>
      <c r="B328" s="78"/>
      <c r="C328" s="78"/>
      <c r="D328" s="78"/>
      <c r="E328" s="78"/>
      <c r="F328" s="81"/>
      <c r="G328" s="82"/>
      <c r="H328" s="78"/>
      <c r="I328" s="81"/>
      <c r="J328" s="81"/>
      <c r="K328" s="81"/>
      <c r="L328" s="81"/>
    </row>
    <row r="329">
      <c r="A329" s="77"/>
      <c r="B329" s="78"/>
      <c r="C329" s="78"/>
      <c r="D329" s="78"/>
      <c r="E329" s="78"/>
      <c r="F329" s="81"/>
      <c r="G329" s="82"/>
      <c r="H329" s="78"/>
      <c r="I329" s="81"/>
      <c r="J329" s="81"/>
      <c r="K329" s="81"/>
      <c r="L329" s="81"/>
    </row>
    <row r="330">
      <c r="A330" s="77"/>
      <c r="B330" s="78"/>
      <c r="C330" s="78"/>
      <c r="D330" s="78"/>
      <c r="E330" s="78"/>
      <c r="F330" s="81"/>
      <c r="G330" s="82"/>
      <c r="H330" s="78"/>
      <c r="I330" s="81"/>
      <c r="J330" s="81"/>
      <c r="K330" s="81"/>
      <c r="L330" s="81"/>
    </row>
    <row r="331">
      <c r="A331" s="77"/>
      <c r="B331" s="78"/>
      <c r="C331" s="78"/>
      <c r="D331" s="78"/>
      <c r="E331" s="78"/>
      <c r="F331" s="81"/>
      <c r="G331" s="82"/>
      <c r="H331" s="78"/>
      <c r="I331" s="81"/>
      <c r="J331" s="81"/>
      <c r="K331" s="81"/>
      <c r="L331" s="81"/>
    </row>
    <row r="332">
      <c r="A332" s="77"/>
      <c r="B332" s="78"/>
      <c r="C332" s="78"/>
      <c r="D332" s="78"/>
      <c r="E332" s="78"/>
      <c r="F332" s="81"/>
      <c r="G332" s="82"/>
      <c r="H332" s="78"/>
      <c r="I332" s="81"/>
      <c r="J332" s="81"/>
      <c r="K332" s="81"/>
      <c r="L332" s="81"/>
    </row>
    <row r="333">
      <c r="A333" s="77"/>
      <c r="B333" s="78"/>
      <c r="C333" s="78"/>
      <c r="D333" s="78"/>
      <c r="E333" s="78"/>
      <c r="F333" s="81"/>
      <c r="G333" s="82"/>
      <c r="H333" s="78"/>
      <c r="I333" s="81"/>
      <c r="J333" s="81"/>
      <c r="K333" s="81"/>
      <c r="L333" s="81"/>
    </row>
    <row r="334">
      <c r="A334" s="77"/>
      <c r="B334" s="78"/>
      <c r="C334" s="78"/>
      <c r="D334" s="78"/>
      <c r="E334" s="78"/>
      <c r="F334" s="81"/>
      <c r="G334" s="82"/>
      <c r="H334" s="78"/>
      <c r="I334" s="81"/>
      <c r="J334" s="81"/>
      <c r="K334" s="81"/>
      <c r="L334" s="81"/>
    </row>
    <row r="335">
      <c r="A335" s="77"/>
      <c r="B335" s="78"/>
      <c r="C335" s="78"/>
      <c r="D335" s="78"/>
      <c r="E335" s="78"/>
      <c r="F335" s="81"/>
      <c r="G335" s="82"/>
      <c r="H335" s="78"/>
      <c r="I335" s="81"/>
      <c r="J335" s="81"/>
      <c r="K335" s="81"/>
      <c r="L335" s="81"/>
    </row>
    <row r="336">
      <c r="A336" s="77"/>
      <c r="B336" s="78"/>
      <c r="C336" s="78"/>
      <c r="D336" s="78"/>
      <c r="E336" s="78"/>
      <c r="F336" s="81"/>
      <c r="G336" s="82"/>
      <c r="H336" s="78"/>
      <c r="I336" s="81"/>
      <c r="J336" s="81"/>
      <c r="K336" s="81"/>
      <c r="L336" s="81"/>
    </row>
    <row r="337">
      <c r="A337" s="77"/>
      <c r="B337" s="78"/>
      <c r="C337" s="78"/>
      <c r="D337" s="78"/>
      <c r="E337" s="78"/>
      <c r="F337" s="81"/>
      <c r="G337" s="82"/>
      <c r="H337" s="78"/>
      <c r="I337" s="81"/>
      <c r="J337" s="81"/>
      <c r="K337" s="81"/>
      <c r="L337" s="81"/>
    </row>
    <row r="338">
      <c r="A338" s="77"/>
      <c r="B338" s="78"/>
      <c r="C338" s="78"/>
      <c r="D338" s="78"/>
      <c r="E338" s="78"/>
      <c r="F338" s="81"/>
      <c r="G338" s="82"/>
      <c r="H338" s="78"/>
      <c r="I338" s="81"/>
      <c r="J338" s="81"/>
      <c r="K338" s="81"/>
      <c r="L338" s="81"/>
    </row>
    <row r="339">
      <c r="A339" s="77"/>
      <c r="B339" s="78"/>
      <c r="C339" s="78"/>
      <c r="D339" s="78"/>
      <c r="E339" s="78"/>
      <c r="F339" s="81"/>
      <c r="G339" s="82"/>
      <c r="H339" s="78"/>
      <c r="I339" s="81"/>
      <c r="J339" s="81"/>
      <c r="K339" s="81"/>
      <c r="L339" s="81"/>
    </row>
    <row r="340">
      <c r="A340" s="77"/>
      <c r="B340" s="78"/>
      <c r="C340" s="78"/>
      <c r="D340" s="78"/>
      <c r="E340" s="78"/>
      <c r="F340" s="81"/>
      <c r="G340" s="82"/>
      <c r="H340" s="78"/>
      <c r="I340" s="81"/>
      <c r="J340" s="81"/>
      <c r="K340" s="81"/>
      <c r="L340" s="81"/>
    </row>
    <row r="341">
      <c r="A341" s="77"/>
      <c r="B341" s="78"/>
      <c r="C341" s="78"/>
      <c r="D341" s="78"/>
      <c r="E341" s="78"/>
      <c r="F341" s="81"/>
      <c r="G341" s="82"/>
      <c r="H341" s="78"/>
      <c r="I341" s="81"/>
      <c r="J341" s="81"/>
      <c r="K341" s="81"/>
      <c r="L341" s="81"/>
    </row>
    <row r="342">
      <c r="A342" s="77"/>
      <c r="B342" s="78"/>
      <c r="C342" s="78"/>
      <c r="D342" s="78"/>
      <c r="E342" s="78"/>
      <c r="F342" s="81"/>
      <c r="G342" s="82"/>
      <c r="H342" s="78"/>
      <c r="I342" s="81"/>
      <c r="J342" s="81"/>
      <c r="K342" s="81"/>
      <c r="L342" s="81"/>
    </row>
    <row r="343">
      <c r="A343" s="77"/>
      <c r="B343" s="78"/>
      <c r="C343" s="78"/>
      <c r="D343" s="78"/>
      <c r="E343" s="78"/>
      <c r="F343" s="81"/>
      <c r="G343" s="82"/>
      <c r="H343" s="78"/>
      <c r="I343" s="81"/>
      <c r="J343" s="81"/>
      <c r="K343" s="81"/>
      <c r="L343" s="81"/>
    </row>
    <row r="344">
      <c r="A344" s="77"/>
      <c r="B344" s="78"/>
      <c r="C344" s="78"/>
      <c r="D344" s="78"/>
      <c r="E344" s="78"/>
      <c r="F344" s="81"/>
      <c r="G344" s="82"/>
      <c r="H344" s="78"/>
      <c r="I344" s="81"/>
      <c r="J344" s="81"/>
      <c r="K344" s="81"/>
      <c r="L344" s="81"/>
    </row>
    <row r="345">
      <c r="A345" s="77"/>
      <c r="B345" s="78"/>
      <c r="C345" s="78"/>
      <c r="D345" s="78"/>
      <c r="E345" s="78"/>
      <c r="F345" s="81"/>
      <c r="G345" s="82"/>
      <c r="H345" s="78"/>
      <c r="I345" s="81"/>
      <c r="J345" s="81"/>
      <c r="K345" s="81"/>
      <c r="L345" s="81"/>
    </row>
    <row r="346">
      <c r="A346" s="77"/>
      <c r="B346" s="78"/>
      <c r="C346" s="78"/>
      <c r="D346" s="78"/>
      <c r="E346" s="78"/>
      <c r="F346" s="81"/>
      <c r="G346" s="82"/>
      <c r="H346" s="78"/>
      <c r="I346" s="81"/>
      <c r="J346" s="81"/>
      <c r="K346" s="81"/>
      <c r="L346" s="81"/>
    </row>
    <row r="347">
      <c r="A347" s="77"/>
      <c r="B347" s="78"/>
      <c r="C347" s="78"/>
      <c r="D347" s="78"/>
      <c r="E347" s="78"/>
      <c r="F347" s="81"/>
      <c r="G347" s="82"/>
      <c r="H347" s="78"/>
      <c r="I347" s="81"/>
      <c r="J347" s="81"/>
      <c r="K347" s="81"/>
      <c r="L347" s="81"/>
    </row>
    <row r="348">
      <c r="A348" s="77"/>
      <c r="B348" s="78"/>
      <c r="C348" s="78"/>
      <c r="D348" s="78"/>
      <c r="E348" s="78"/>
      <c r="F348" s="81"/>
      <c r="G348" s="82"/>
      <c r="H348" s="78"/>
      <c r="I348" s="81"/>
      <c r="J348" s="81"/>
      <c r="K348" s="81"/>
      <c r="L348" s="81"/>
    </row>
    <row r="349">
      <c r="A349" s="77"/>
      <c r="B349" s="78"/>
      <c r="C349" s="78"/>
      <c r="D349" s="78"/>
      <c r="E349" s="78"/>
      <c r="F349" s="81"/>
      <c r="G349" s="82"/>
      <c r="H349" s="78"/>
      <c r="I349" s="81"/>
      <c r="J349" s="81"/>
      <c r="K349" s="81"/>
      <c r="L349" s="81"/>
    </row>
    <row r="350">
      <c r="A350" s="77"/>
      <c r="B350" s="78"/>
      <c r="C350" s="78"/>
      <c r="D350" s="78"/>
      <c r="E350" s="78"/>
      <c r="F350" s="81"/>
      <c r="G350" s="82"/>
      <c r="H350" s="78"/>
      <c r="I350" s="81"/>
      <c r="J350" s="81"/>
      <c r="K350" s="81"/>
      <c r="L350" s="81"/>
    </row>
    <row r="351">
      <c r="A351" s="77"/>
      <c r="B351" s="78"/>
      <c r="C351" s="78"/>
      <c r="D351" s="78"/>
      <c r="E351" s="78"/>
      <c r="F351" s="81"/>
      <c r="G351" s="82"/>
      <c r="H351" s="78"/>
      <c r="I351" s="81"/>
      <c r="J351" s="81"/>
      <c r="K351" s="81"/>
      <c r="L351" s="81"/>
    </row>
    <row r="352">
      <c r="A352" s="77"/>
      <c r="B352" s="78"/>
      <c r="C352" s="78"/>
      <c r="D352" s="78"/>
      <c r="E352" s="78"/>
      <c r="F352" s="81"/>
      <c r="G352" s="82"/>
      <c r="H352" s="78"/>
      <c r="I352" s="81"/>
      <c r="J352" s="81"/>
      <c r="K352" s="81"/>
      <c r="L352" s="81"/>
    </row>
    <row r="353">
      <c r="A353" s="77"/>
      <c r="B353" s="78"/>
      <c r="C353" s="78"/>
      <c r="D353" s="78"/>
      <c r="E353" s="78"/>
      <c r="F353" s="81"/>
      <c r="G353" s="82"/>
      <c r="H353" s="78"/>
      <c r="I353" s="81"/>
      <c r="J353" s="81"/>
      <c r="K353" s="81"/>
      <c r="L353" s="81"/>
    </row>
    <row r="354">
      <c r="A354" s="77"/>
      <c r="B354" s="78"/>
      <c r="C354" s="78"/>
      <c r="D354" s="78"/>
      <c r="E354" s="78"/>
      <c r="F354" s="81"/>
      <c r="G354" s="82"/>
      <c r="H354" s="78"/>
      <c r="I354" s="81"/>
      <c r="J354" s="81"/>
      <c r="K354" s="81"/>
      <c r="L354" s="81"/>
    </row>
    <row r="355">
      <c r="A355" s="77"/>
      <c r="B355" s="78"/>
      <c r="C355" s="78"/>
      <c r="D355" s="78"/>
      <c r="E355" s="78"/>
      <c r="F355" s="81"/>
      <c r="G355" s="82"/>
      <c r="H355" s="78"/>
      <c r="I355" s="81"/>
      <c r="J355" s="81"/>
      <c r="K355" s="81"/>
      <c r="L355" s="81"/>
    </row>
    <row r="356">
      <c r="A356" s="77"/>
      <c r="B356" s="78"/>
      <c r="C356" s="78"/>
      <c r="D356" s="78"/>
      <c r="E356" s="78"/>
      <c r="F356" s="81"/>
      <c r="G356" s="82"/>
      <c r="H356" s="78"/>
      <c r="I356" s="81"/>
      <c r="J356" s="81"/>
      <c r="K356" s="81"/>
      <c r="L356" s="81"/>
    </row>
    <row r="357">
      <c r="A357" s="77"/>
      <c r="B357" s="78"/>
      <c r="C357" s="78"/>
      <c r="D357" s="78"/>
      <c r="E357" s="78"/>
      <c r="F357" s="81"/>
      <c r="G357" s="82"/>
      <c r="H357" s="78"/>
      <c r="I357" s="81"/>
      <c r="J357" s="81"/>
      <c r="K357" s="81"/>
      <c r="L357" s="81"/>
    </row>
    <row r="358">
      <c r="A358" s="77"/>
      <c r="B358" s="78"/>
      <c r="C358" s="78"/>
      <c r="D358" s="78"/>
      <c r="E358" s="78"/>
      <c r="F358" s="81"/>
      <c r="G358" s="82"/>
      <c r="H358" s="78"/>
      <c r="I358" s="81"/>
      <c r="J358" s="81"/>
      <c r="K358" s="81"/>
      <c r="L358" s="81"/>
    </row>
    <row r="359">
      <c r="A359" s="77"/>
      <c r="B359" s="78"/>
      <c r="C359" s="78"/>
      <c r="D359" s="78"/>
      <c r="E359" s="78"/>
      <c r="F359" s="81"/>
      <c r="G359" s="82"/>
      <c r="H359" s="78"/>
      <c r="I359" s="81"/>
      <c r="J359" s="81"/>
      <c r="K359" s="81"/>
      <c r="L359" s="81"/>
    </row>
    <row r="360">
      <c r="A360" s="77"/>
      <c r="B360" s="78"/>
      <c r="C360" s="78"/>
      <c r="D360" s="78"/>
      <c r="E360" s="78"/>
      <c r="F360" s="81"/>
      <c r="G360" s="82"/>
      <c r="H360" s="78"/>
      <c r="I360" s="81"/>
      <c r="J360" s="81"/>
      <c r="K360" s="81"/>
      <c r="L360" s="81"/>
    </row>
    <row r="361">
      <c r="A361" s="77"/>
      <c r="B361" s="78"/>
      <c r="C361" s="78"/>
      <c r="D361" s="78"/>
      <c r="E361" s="78"/>
      <c r="F361" s="81"/>
      <c r="G361" s="82"/>
      <c r="H361" s="78"/>
      <c r="I361" s="81"/>
      <c r="J361" s="81"/>
      <c r="K361" s="81"/>
      <c r="L361" s="81"/>
    </row>
    <row r="362">
      <c r="A362" s="77"/>
      <c r="B362" s="78"/>
      <c r="C362" s="78"/>
      <c r="D362" s="78"/>
      <c r="E362" s="78"/>
      <c r="F362" s="81"/>
      <c r="G362" s="82"/>
      <c r="H362" s="78"/>
      <c r="I362" s="81"/>
      <c r="J362" s="81"/>
      <c r="K362" s="81"/>
      <c r="L362" s="81"/>
    </row>
    <row r="363">
      <c r="A363" s="77"/>
      <c r="B363" s="78"/>
      <c r="C363" s="78"/>
      <c r="D363" s="78"/>
      <c r="E363" s="78"/>
      <c r="F363" s="81"/>
      <c r="G363" s="82"/>
      <c r="H363" s="78"/>
      <c r="I363" s="81"/>
      <c r="J363" s="81"/>
      <c r="K363" s="81"/>
      <c r="L363" s="81"/>
    </row>
    <row r="364">
      <c r="A364" s="77"/>
      <c r="B364" s="78"/>
      <c r="C364" s="78"/>
      <c r="D364" s="78"/>
      <c r="E364" s="78"/>
      <c r="F364" s="81"/>
      <c r="G364" s="82"/>
      <c r="H364" s="78"/>
      <c r="I364" s="81"/>
      <c r="J364" s="81"/>
      <c r="K364" s="81"/>
      <c r="L364" s="81"/>
    </row>
    <row r="365">
      <c r="A365" s="77"/>
      <c r="B365" s="78"/>
      <c r="C365" s="78"/>
      <c r="D365" s="78"/>
      <c r="E365" s="78"/>
      <c r="F365" s="81"/>
      <c r="G365" s="82"/>
      <c r="H365" s="78"/>
      <c r="I365" s="81"/>
      <c r="J365" s="81"/>
      <c r="K365" s="81"/>
      <c r="L365" s="81"/>
    </row>
    <row r="366">
      <c r="A366" s="77"/>
      <c r="B366" s="78"/>
      <c r="C366" s="78"/>
      <c r="D366" s="78"/>
      <c r="E366" s="78"/>
      <c r="F366" s="81"/>
      <c r="G366" s="82"/>
      <c r="H366" s="78"/>
      <c r="I366" s="81"/>
      <c r="J366" s="81"/>
      <c r="K366" s="81"/>
      <c r="L366" s="81"/>
    </row>
    <row r="367">
      <c r="A367" s="77"/>
      <c r="B367" s="78"/>
      <c r="C367" s="78"/>
      <c r="D367" s="78"/>
      <c r="E367" s="78"/>
      <c r="F367" s="81"/>
      <c r="G367" s="82"/>
      <c r="H367" s="78"/>
      <c r="I367" s="81"/>
      <c r="J367" s="81"/>
      <c r="K367" s="81"/>
      <c r="L367" s="81"/>
    </row>
    <row r="368">
      <c r="A368" s="77"/>
      <c r="B368" s="78"/>
      <c r="C368" s="78"/>
      <c r="D368" s="78"/>
      <c r="E368" s="78"/>
      <c r="F368" s="81"/>
      <c r="G368" s="82"/>
      <c r="H368" s="78"/>
      <c r="I368" s="81"/>
      <c r="J368" s="81"/>
      <c r="K368" s="81"/>
      <c r="L368" s="81"/>
    </row>
    <row r="369">
      <c r="A369" s="77"/>
      <c r="B369" s="78"/>
      <c r="C369" s="78"/>
      <c r="D369" s="78"/>
      <c r="E369" s="78"/>
      <c r="F369" s="81"/>
      <c r="G369" s="82"/>
      <c r="H369" s="78"/>
      <c r="I369" s="81"/>
      <c r="J369" s="81"/>
      <c r="K369" s="81"/>
      <c r="L369" s="81"/>
    </row>
    <row r="370">
      <c r="A370" s="77"/>
      <c r="B370" s="78"/>
      <c r="C370" s="78"/>
      <c r="D370" s="78"/>
      <c r="E370" s="78"/>
      <c r="F370" s="81"/>
      <c r="G370" s="82"/>
      <c r="H370" s="78"/>
      <c r="I370" s="81"/>
      <c r="J370" s="81"/>
      <c r="K370" s="81"/>
      <c r="L370" s="81"/>
    </row>
    <row r="371">
      <c r="A371" s="77"/>
      <c r="B371" s="78"/>
      <c r="C371" s="78"/>
      <c r="D371" s="78"/>
      <c r="E371" s="78"/>
      <c r="F371" s="81"/>
      <c r="G371" s="82"/>
      <c r="H371" s="78"/>
      <c r="I371" s="81"/>
      <c r="J371" s="81"/>
      <c r="K371" s="81"/>
      <c r="L371" s="81"/>
    </row>
    <row r="372">
      <c r="A372" s="77"/>
      <c r="B372" s="78"/>
      <c r="C372" s="78"/>
      <c r="D372" s="78"/>
      <c r="E372" s="78"/>
      <c r="F372" s="81"/>
      <c r="G372" s="82"/>
      <c r="H372" s="78"/>
      <c r="I372" s="81"/>
      <c r="J372" s="81"/>
      <c r="K372" s="81"/>
      <c r="L372" s="81"/>
    </row>
    <row r="373">
      <c r="A373" s="77"/>
      <c r="B373" s="78"/>
      <c r="C373" s="78"/>
      <c r="D373" s="78"/>
      <c r="E373" s="78"/>
      <c r="F373" s="81"/>
      <c r="G373" s="82"/>
      <c r="H373" s="78"/>
      <c r="I373" s="81"/>
      <c r="J373" s="81"/>
      <c r="K373" s="81"/>
      <c r="L373" s="81"/>
    </row>
    <row r="374">
      <c r="A374" s="77"/>
      <c r="B374" s="78"/>
      <c r="C374" s="78"/>
      <c r="D374" s="78"/>
      <c r="E374" s="78"/>
      <c r="F374" s="81"/>
      <c r="G374" s="82"/>
      <c r="H374" s="78"/>
      <c r="I374" s="81"/>
      <c r="J374" s="81"/>
      <c r="K374" s="81"/>
      <c r="L374" s="81"/>
    </row>
    <row r="375">
      <c r="A375" s="77"/>
      <c r="B375" s="78"/>
      <c r="C375" s="78"/>
      <c r="D375" s="78"/>
      <c r="E375" s="78"/>
      <c r="F375" s="81"/>
      <c r="G375" s="82"/>
      <c r="H375" s="78"/>
      <c r="I375" s="81"/>
      <c r="J375" s="81"/>
      <c r="K375" s="81"/>
      <c r="L375" s="81"/>
    </row>
    <row r="376">
      <c r="A376" s="77"/>
      <c r="B376" s="78"/>
      <c r="C376" s="78"/>
      <c r="D376" s="78"/>
      <c r="E376" s="78"/>
      <c r="F376" s="81"/>
      <c r="G376" s="82"/>
      <c r="H376" s="78"/>
      <c r="I376" s="81"/>
      <c r="J376" s="81"/>
      <c r="K376" s="81"/>
      <c r="L376" s="81"/>
    </row>
    <row r="377">
      <c r="A377" s="77"/>
      <c r="B377" s="78"/>
      <c r="C377" s="78"/>
      <c r="D377" s="78"/>
      <c r="E377" s="78"/>
      <c r="F377" s="81"/>
      <c r="G377" s="82"/>
      <c r="H377" s="78"/>
      <c r="I377" s="81"/>
      <c r="J377" s="81"/>
      <c r="K377" s="81"/>
      <c r="L377" s="81"/>
    </row>
    <row r="378">
      <c r="A378" s="77"/>
      <c r="B378" s="78"/>
      <c r="C378" s="78"/>
      <c r="D378" s="78"/>
      <c r="E378" s="78"/>
      <c r="F378" s="81"/>
      <c r="G378" s="82"/>
      <c r="H378" s="78"/>
      <c r="I378" s="81"/>
      <c r="J378" s="81"/>
      <c r="K378" s="81"/>
      <c r="L378" s="81"/>
    </row>
    <row r="379">
      <c r="A379" s="77"/>
      <c r="B379" s="78"/>
      <c r="C379" s="78"/>
      <c r="D379" s="78"/>
      <c r="E379" s="78"/>
      <c r="F379" s="81"/>
      <c r="G379" s="82"/>
      <c r="H379" s="78"/>
      <c r="I379" s="81"/>
      <c r="J379" s="81"/>
      <c r="K379" s="81"/>
      <c r="L379" s="81"/>
    </row>
    <row r="380">
      <c r="A380" s="77"/>
      <c r="B380" s="78"/>
      <c r="C380" s="78"/>
      <c r="D380" s="78"/>
      <c r="E380" s="78"/>
      <c r="F380" s="81"/>
      <c r="G380" s="82"/>
      <c r="H380" s="78"/>
      <c r="I380" s="81"/>
      <c r="J380" s="81"/>
      <c r="K380" s="81"/>
      <c r="L380" s="81"/>
    </row>
    <row r="381">
      <c r="A381" s="77"/>
      <c r="B381" s="78"/>
      <c r="C381" s="78"/>
      <c r="D381" s="78"/>
      <c r="E381" s="78"/>
      <c r="F381" s="81"/>
      <c r="G381" s="82"/>
      <c r="H381" s="78"/>
      <c r="I381" s="81"/>
      <c r="J381" s="81"/>
      <c r="K381" s="81"/>
      <c r="L381" s="81"/>
    </row>
    <row r="382">
      <c r="A382" s="77"/>
      <c r="B382" s="78"/>
      <c r="C382" s="78"/>
      <c r="D382" s="78"/>
      <c r="E382" s="78"/>
      <c r="F382" s="81"/>
      <c r="G382" s="82"/>
      <c r="H382" s="78"/>
      <c r="I382" s="81"/>
      <c r="J382" s="81"/>
      <c r="K382" s="81"/>
      <c r="L382" s="81"/>
    </row>
    <row r="383">
      <c r="A383" s="77"/>
      <c r="B383" s="78"/>
      <c r="C383" s="78"/>
      <c r="D383" s="78"/>
      <c r="E383" s="78"/>
      <c r="F383" s="81"/>
      <c r="G383" s="82"/>
      <c r="H383" s="78"/>
      <c r="I383" s="81"/>
      <c r="J383" s="81"/>
      <c r="K383" s="81"/>
      <c r="L383" s="81"/>
    </row>
    <row r="384">
      <c r="A384" s="77"/>
      <c r="B384" s="78"/>
      <c r="C384" s="78"/>
      <c r="D384" s="78"/>
      <c r="E384" s="78"/>
      <c r="F384" s="81"/>
      <c r="G384" s="82"/>
      <c r="H384" s="78"/>
      <c r="I384" s="81"/>
      <c r="J384" s="81"/>
      <c r="K384" s="81"/>
      <c r="L384" s="81"/>
    </row>
    <row r="385">
      <c r="A385" s="77"/>
      <c r="B385" s="78"/>
      <c r="C385" s="78"/>
      <c r="D385" s="78"/>
      <c r="E385" s="78"/>
      <c r="F385" s="81"/>
      <c r="G385" s="82"/>
      <c r="H385" s="78"/>
      <c r="I385" s="81"/>
      <c r="J385" s="81"/>
      <c r="K385" s="81"/>
      <c r="L385" s="81"/>
    </row>
    <row r="386">
      <c r="A386" s="77"/>
      <c r="B386" s="78"/>
      <c r="C386" s="78"/>
      <c r="D386" s="78"/>
      <c r="E386" s="78"/>
      <c r="F386" s="81"/>
      <c r="G386" s="82"/>
      <c r="H386" s="78"/>
      <c r="I386" s="81"/>
      <c r="J386" s="81"/>
      <c r="K386" s="81"/>
      <c r="L386" s="81"/>
    </row>
    <row r="387">
      <c r="A387" s="77"/>
      <c r="B387" s="78"/>
      <c r="C387" s="78"/>
      <c r="D387" s="78"/>
      <c r="E387" s="78"/>
      <c r="F387" s="81"/>
      <c r="G387" s="82"/>
      <c r="H387" s="78"/>
      <c r="I387" s="81"/>
      <c r="J387" s="81"/>
      <c r="K387" s="81"/>
      <c r="L387" s="81"/>
    </row>
    <row r="388">
      <c r="A388" s="77"/>
      <c r="B388" s="78"/>
      <c r="C388" s="78"/>
      <c r="D388" s="78"/>
      <c r="E388" s="78"/>
      <c r="F388" s="81"/>
      <c r="G388" s="82"/>
      <c r="H388" s="78"/>
      <c r="I388" s="81"/>
      <c r="J388" s="81"/>
      <c r="K388" s="81"/>
      <c r="L388" s="81"/>
    </row>
    <row r="389">
      <c r="A389" s="77"/>
      <c r="B389" s="78"/>
      <c r="C389" s="78"/>
      <c r="D389" s="78"/>
      <c r="E389" s="78"/>
      <c r="F389" s="81"/>
      <c r="G389" s="82"/>
      <c r="H389" s="78"/>
      <c r="I389" s="81"/>
      <c r="J389" s="81"/>
      <c r="K389" s="81"/>
      <c r="L389" s="81"/>
    </row>
    <row r="390">
      <c r="A390" s="77"/>
      <c r="B390" s="78"/>
      <c r="C390" s="78"/>
      <c r="D390" s="78"/>
      <c r="E390" s="78"/>
      <c r="F390" s="81"/>
      <c r="G390" s="82"/>
      <c r="H390" s="78"/>
      <c r="I390" s="81"/>
      <c r="J390" s="81"/>
      <c r="K390" s="81"/>
      <c r="L390" s="81"/>
    </row>
    <row r="391">
      <c r="A391" s="77"/>
      <c r="B391" s="78"/>
      <c r="C391" s="78"/>
      <c r="D391" s="78"/>
      <c r="E391" s="78"/>
      <c r="F391" s="81"/>
      <c r="G391" s="82"/>
      <c r="H391" s="78"/>
      <c r="I391" s="81"/>
      <c r="J391" s="81"/>
      <c r="K391" s="81"/>
      <c r="L391" s="81"/>
    </row>
    <row r="392">
      <c r="A392" s="77"/>
      <c r="B392" s="78"/>
      <c r="C392" s="78"/>
      <c r="D392" s="78"/>
      <c r="E392" s="78"/>
      <c r="F392" s="81"/>
      <c r="G392" s="82"/>
      <c r="H392" s="78"/>
      <c r="I392" s="81"/>
      <c r="J392" s="81"/>
      <c r="K392" s="81"/>
      <c r="L392" s="81"/>
    </row>
    <row r="393">
      <c r="A393" s="77"/>
      <c r="B393" s="78"/>
      <c r="C393" s="78"/>
      <c r="D393" s="78"/>
      <c r="E393" s="78"/>
      <c r="F393" s="81"/>
      <c r="G393" s="82"/>
      <c r="H393" s="78"/>
      <c r="I393" s="81"/>
      <c r="J393" s="81"/>
      <c r="K393" s="81"/>
      <c r="L393" s="81"/>
    </row>
    <row r="394">
      <c r="A394" s="77"/>
      <c r="B394" s="78"/>
      <c r="C394" s="78"/>
      <c r="D394" s="78"/>
      <c r="E394" s="78"/>
      <c r="F394" s="81"/>
      <c r="G394" s="82"/>
      <c r="H394" s="78"/>
      <c r="I394" s="81"/>
      <c r="J394" s="81"/>
      <c r="K394" s="81"/>
      <c r="L394" s="81"/>
    </row>
    <row r="395">
      <c r="A395" s="77"/>
      <c r="B395" s="78"/>
      <c r="C395" s="78"/>
      <c r="D395" s="78"/>
      <c r="E395" s="78"/>
      <c r="F395" s="81"/>
      <c r="G395" s="82"/>
      <c r="H395" s="78"/>
      <c r="I395" s="81"/>
      <c r="J395" s="81"/>
      <c r="K395" s="81"/>
      <c r="L395" s="81"/>
    </row>
    <row r="396">
      <c r="A396" s="77"/>
      <c r="B396" s="78"/>
      <c r="C396" s="78"/>
      <c r="D396" s="78"/>
      <c r="E396" s="78"/>
      <c r="F396" s="81"/>
      <c r="G396" s="82"/>
      <c r="H396" s="78"/>
      <c r="I396" s="81"/>
      <c r="J396" s="81"/>
      <c r="K396" s="81"/>
      <c r="L396" s="81"/>
    </row>
    <row r="397">
      <c r="A397" s="77"/>
      <c r="B397" s="78"/>
      <c r="C397" s="78"/>
      <c r="D397" s="78"/>
      <c r="E397" s="78"/>
      <c r="F397" s="81"/>
      <c r="G397" s="82"/>
      <c r="H397" s="78"/>
      <c r="I397" s="81"/>
      <c r="J397" s="81"/>
      <c r="K397" s="81"/>
      <c r="L397" s="81"/>
    </row>
    <row r="398">
      <c r="A398" s="77"/>
      <c r="B398" s="78"/>
      <c r="C398" s="78"/>
      <c r="D398" s="78"/>
      <c r="E398" s="78"/>
      <c r="F398" s="81"/>
      <c r="G398" s="82"/>
      <c r="H398" s="78"/>
      <c r="I398" s="81"/>
      <c r="J398" s="81"/>
      <c r="K398" s="81"/>
      <c r="L398" s="81"/>
    </row>
    <row r="399">
      <c r="A399" s="77"/>
      <c r="B399" s="78"/>
      <c r="C399" s="78"/>
      <c r="D399" s="78"/>
      <c r="E399" s="78"/>
      <c r="F399" s="81"/>
      <c r="G399" s="82"/>
      <c r="H399" s="78"/>
      <c r="I399" s="81"/>
      <c r="J399" s="81"/>
      <c r="K399" s="81"/>
      <c r="L399" s="81"/>
    </row>
    <row r="400">
      <c r="A400" s="77"/>
      <c r="B400" s="78"/>
      <c r="C400" s="78"/>
      <c r="D400" s="78"/>
      <c r="E400" s="78"/>
      <c r="F400" s="81"/>
      <c r="G400" s="82"/>
      <c r="H400" s="78"/>
      <c r="I400" s="81"/>
      <c r="J400" s="81"/>
      <c r="K400" s="81"/>
      <c r="L400" s="81"/>
    </row>
    <row r="401">
      <c r="A401" s="77"/>
      <c r="B401" s="78"/>
      <c r="C401" s="78"/>
      <c r="D401" s="78"/>
      <c r="E401" s="78"/>
      <c r="F401" s="81"/>
      <c r="G401" s="82"/>
      <c r="H401" s="78"/>
      <c r="I401" s="81"/>
      <c r="J401" s="81"/>
      <c r="K401" s="81"/>
      <c r="L401" s="81"/>
    </row>
    <row r="402">
      <c r="A402" s="77"/>
      <c r="B402" s="78"/>
      <c r="C402" s="78"/>
      <c r="D402" s="78"/>
      <c r="E402" s="78"/>
      <c r="F402" s="81"/>
      <c r="G402" s="82"/>
      <c r="H402" s="78"/>
      <c r="I402" s="81"/>
      <c r="J402" s="81"/>
      <c r="K402" s="81"/>
      <c r="L402" s="81"/>
    </row>
    <row r="403">
      <c r="A403" s="77"/>
      <c r="B403" s="78"/>
      <c r="C403" s="78"/>
      <c r="D403" s="78"/>
      <c r="E403" s="78"/>
      <c r="F403" s="81"/>
      <c r="G403" s="82"/>
      <c r="H403" s="78"/>
      <c r="I403" s="81"/>
      <c r="J403" s="81"/>
      <c r="K403" s="81"/>
      <c r="L403" s="81"/>
    </row>
    <row r="404">
      <c r="A404" s="77"/>
      <c r="B404" s="78"/>
      <c r="C404" s="78"/>
      <c r="D404" s="78"/>
      <c r="E404" s="78"/>
      <c r="F404" s="81"/>
      <c r="G404" s="82"/>
      <c r="H404" s="78"/>
      <c r="I404" s="81"/>
      <c r="J404" s="81"/>
      <c r="K404" s="81"/>
      <c r="L404" s="81"/>
    </row>
    <row r="405">
      <c r="A405" s="77"/>
      <c r="B405" s="78"/>
      <c r="C405" s="78"/>
      <c r="D405" s="78"/>
      <c r="E405" s="78"/>
      <c r="F405" s="81"/>
      <c r="G405" s="82"/>
      <c r="H405" s="78"/>
      <c r="I405" s="81"/>
      <c r="J405" s="81"/>
      <c r="K405" s="81"/>
      <c r="L405" s="81"/>
    </row>
    <row r="406">
      <c r="A406" s="77"/>
      <c r="B406" s="78"/>
      <c r="C406" s="78"/>
      <c r="D406" s="78"/>
      <c r="E406" s="78"/>
      <c r="F406" s="81"/>
      <c r="G406" s="82"/>
      <c r="H406" s="78"/>
      <c r="I406" s="81"/>
      <c r="J406" s="81"/>
      <c r="K406" s="81"/>
      <c r="L406" s="81"/>
    </row>
    <row r="407">
      <c r="A407" s="77"/>
      <c r="B407" s="78"/>
      <c r="C407" s="78"/>
      <c r="D407" s="78"/>
      <c r="E407" s="78"/>
      <c r="F407" s="81"/>
      <c r="G407" s="82"/>
      <c r="H407" s="78"/>
      <c r="I407" s="81"/>
      <c r="J407" s="81"/>
      <c r="K407" s="81"/>
      <c r="L407" s="81"/>
    </row>
    <row r="408">
      <c r="A408" s="77"/>
      <c r="B408" s="78"/>
      <c r="C408" s="78"/>
      <c r="D408" s="78"/>
      <c r="E408" s="78"/>
      <c r="F408" s="81"/>
      <c r="G408" s="82"/>
      <c r="H408" s="78"/>
      <c r="I408" s="81"/>
      <c r="J408" s="81"/>
      <c r="K408" s="81"/>
      <c r="L408" s="81"/>
    </row>
    <row r="409">
      <c r="A409" s="77"/>
      <c r="B409" s="78"/>
      <c r="C409" s="78"/>
      <c r="D409" s="78"/>
      <c r="E409" s="78"/>
      <c r="F409" s="81"/>
      <c r="G409" s="82"/>
      <c r="H409" s="78"/>
      <c r="I409" s="81"/>
      <c r="J409" s="81"/>
      <c r="K409" s="81"/>
      <c r="L409" s="81"/>
    </row>
    <row r="410">
      <c r="A410" s="77"/>
      <c r="B410" s="78"/>
      <c r="C410" s="78"/>
      <c r="D410" s="78"/>
      <c r="E410" s="78"/>
      <c r="F410" s="81"/>
      <c r="G410" s="82"/>
      <c r="H410" s="78"/>
      <c r="I410" s="81"/>
      <c r="J410" s="81"/>
      <c r="K410" s="81"/>
      <c r="L410" s="81"/>
    </row>
    <row r="411">
      <c r="A411" s="77"/>
      <c r="B411" s="78"/>
      <c r="C411" s="78"/>
      <c r="D411" s="78"/>
      <c r="E411" s="78"/>
      <c r="F411" s="81"/>
      <c r="G411" s="82"/>
      <c r="H411" s="78"/>
      <c r="I411" s="81"/>
      <c r="J411" s="81"/>
      <c r="K411" s="81"/>
      <c r="L411" s="81"/>
    </row>
    <row r="412">
      <c r="A412" s="77"/>
      <c r="B412" s="78"/>
      <c r="C412" s="78"/>
      <c r="D412" s="78"/>
      <c r="E412" s="78"/>
      <c r="F412" s="81"/>
      <c r="G412" s="82"/>
      <c r="H412" s="78"/>
      <c r="I412" s="81"/>
      <c r="J412" s="81"/>
      <c r="K412" s="81"/>
      <c r="L412" s="81"/>
    </row>
    <row r="413">
      <c r="A413" s="77"/>
      <c r="B413" s="78"/>
      <c r="C413" s="78"/>
      <c r="D413" s="78"/>
      <c r="E413" s="78"/>
      <c r="F413" s="81"/>
      <c r="G413" s="82"/>
      <c r="H413" s="78"/>
      <c r="I413" s="81"/>
      <c r="J413" s="81"/>
      <c r="K413" s="81"/>
      <c r="L413" s="81"/>
    </row>
    <row r="414">
      <c r="A414" s="77"/>
      <c r="B414" s="78"/>
      <c r="C414" s="78"/>
      <c r="D414" s="78"/>
      <c r="E414" s="78"/>
      <c r="F414" s="81"/>
      <c r="G414" s="82"/>
      <c r="H414" s="78"/>
      <c r="I414" s="81"/>
      <c r="J414" s="81"/>
      <c r="K414" s="81"/>
      <c r="L414" s="81"/>
    </row>
    <row r="415">
      <c r="A415" s="77"/>
      <c r="B415" s="78"/>
      <c r="C415" s="78"/>
      <c r="D415" s="78"/>
      <c r="E415" s="78"/>
      <c r="F415" s="81"/>
      <c r="G415" s="82"/>
      <c r="H415" s="78"/>
      <c r="I415" s="81"/>
      <c r="J415" s="81"/>
      <c r="K415" s="81"/>
      <c r="L415" s="81"/>
    </row>
    <row r="416">
      <c r="A416" s="77"/>
      <c r="B416" s="78"/>
      <c r="C416" s="78"/>
      <c r="D416" s="78"/>
      <c r="E416" s="78"/>
      <c r="F416" s="81"/>
      <c r="G416" s="82"/>
      <c r="H416" s="78"/>
      <c r="I416" s="81"/>
      <c r="J416" s="81"/>
      <c r="K416" s="81"/>
      <c r="L416" s="81"/>
    </row>
    <row r="417">
      <c r="A417" s="77"/>
      <c r="B417" s="78"/>
      <c r="C417" s="78"/>
      <c r="D417" s="78"/>
      <c r="E417" s="78"/>
      <c r="F417" s="81"/>
      <c r="G417" s="82"/>
      <c r="H417" s="78"/>
      <c r="I417" s="81"/>
      <c r="J417" s="81"/>
      <c r="K417" s="81"/>
      <c r="L417" s="81"/>
    </row>
    <row r="418">
      <c r="A418" s="77"/>
      <c r="B418" s="78"/>
      <c r="C418" s="78"/>
      <c r="D418" s="78"/>
      <c r="E418" s="78"/>
      <c r="F418" s="81"/>
      <c r="G418" s="82"/>
      <c r="H418" s="78"/>
      <c r="I418" s="81"/>
      <c r="J418" s="81"/>
      <c r="K418" s="81"/>
      <c r="L418" s="81"/>
    </row>
    <row r="419">
      <c r="A419" s="77"/>
      <c r="B419" s="78"/>
      <c r="C419" s="78"/>
      <c r="D419" s="78"/>
      <c r="E419" s="78"/>
      <c r="F419" s="81"/>
      <c r="G419" s="82"/>
      <c r="H419" s="78"/>
      <c r="I419" s="81"/>
      <c r="J419" s="81"/>
      <c r="K419" s="81"/>
      <c r="L419" s="81"/>
    </row>
    <row r="420">
      <c r="A420" s="77"/>
      <c r="B420" s="78"/>
      <c r="C420" s="78"/>
      <c r="D420" s="78"/>
      <c r="E420" s="78"/>
      <c r="F420" s="81"/>
      <c r="G420" s="82"/>
      <c r="H420" s="78"/>
      <c r="I420" s="81"/>
      <c r="J420" s="81"/>
      <c r="K420" s="81"/>
      <c r="L420" s="81"/>
    </row>
    <row r="421">
      <c r="A421" s="77"/>
      <c r="B421" s="78"/>
      <c r="C421" s="78"/>
      <c r="D421" s="78"/>
      <c r="E421" s="78"/>
      <c r="F421" s="81"/>
      <c r="G421" s="82"/>
      <c r="H421" s="78"/>
      <c r="I421" s="81"/>
      <c r="J421" s="81"/>
      <c r="K421" s="81"/>
      <c r="L421" s="81"/>
    </row>
    <row r="422">
      <c r="A422" s="77"/>
      <c r="B422" s="78"/>
      <c r="C422" s="78"/>
      <c r="D422" s="78"/>
      <c r="E422" s="78"/>
      <c r="F422" s="81"/>
      <c r="G422" s="82"/>
      <c r="H422" s="78"/>
      <c r="I422" s="81"/>
      <c r="J422" s="81"/>
      <c r="K422" s="81"/>
      <c r="L422" s="81"/>
    </row>
    <row r="423">
      <c r="A423" s="77"/>
      <c r="B423" s="78"/>
      <c r="C423" s="78"/>
      <c r="D423" s="78"/>
      <c r="E423" s="78"/>
      <c r="F423" s="81"/>
      <c r="G423" s="82"/>
      <c r="H423" s="78"/>
      <c r="I423" s="81"/>
      <c r="J423" s="81"/>
      <c r="K423" s="81"/>
      <c r="L423" s="81"/>
    </row>
    <row r="424">
      <c r="A424" s="77"/>
      <c r="B424" s="78"/>
      <c r="C424" s="78"/>
      <c r="D424" s="78"/>
      <c r="E424" s="78"/>
      <c r="F424" s="81"/>
      <c r="G424" s="82"/>
      <c r="H424" s="78"/>
      <c r="I424" s="81"/>
      <c r="J424" s="81"/>
      <c r="K424" s="81"/>
      <c r="L424" s="81"/>
    </row>
    <row r="425">
      <c r="A425" s="77"/>
      <c r="B425" s="78"/>
      <c r="C425" s="78"/>
      <c r="D425" s="78"/>
      <c r="E425" s="78"/>
      <c r="F425" s="81"/>
      <c r="G425" s="82"/>
      <c r="H425" s="78"/>
      <c r="I425" s="81"/>
      <c r="J425" s="81"/>
      <c r="K425" s="81"/>
      <c r="L425" s="81"/>
    </row>
    <row r="426">
      <c r="A426" s="77"/>
      <c r="B426" s="78"/>
      <c r="C426" s="78"/>
      <c r="D426" s="78"/>
      <c r="E426" s="78"/>
      <c r="F426" s="81"/>
      <c r="G426" s="82"/>
      <c r="H426" s="78"/>
      <c r="I426" s="81"/>
      <c r="J426" s="81"/>
      <c r="K426" s="81"/>
      <c r="L426" s="81"/>
    </row>
    <row r="427">
      <c r="A427" s="77"/>
      <c r="B427" s="78"/>
      <c r="C427" s="78"/>
      <c r="D427" s="78"/>
      <c r="E427" s="78"/>
      <c r="F427" s="81"/>
      <c r="G427" s="82"/>
      <c r="H427" s="78"/>
      <c r="I427" s="81"/>
      <c r="J427" s="81"/>
      <c r="K427" s="81"/>
      <c r="L427" s="81"/>
    </row>
    <row r="428">
      <c r="A428" s="77"/>
      <c r="B428" s="78"/>
      <c r="C428" s="78"/>
      <c r="D428" s="78"/>
      <c r="E428" s="78"/>
      <c r="F428" s="81"/>
      <c r="G428" s="82"/>
      <c r="H428" s="78"/>
      <c r="I428" s="81"/>
      <c r="J428" s="81"/>
      <c r="K428" s="81"/>
      <c r="L428" s="81"/>
    </row>
    <row r="429">
      <c r="A429" s="77"/>
      <c r="B429" s="78"/>
      <c r="C429" s="78"/>
      <c r="D429" s="78"/>
      <c r="E429" s="78"/>
      <c r="F429" s="81"/>
      <c r="G429" s="82"/>
      <c r="H429" s="78"/>
      <c r="I429" s="81"/>
      <c r="J429" s="81"/>
      <c r="K429" s="81"/>
      <c r="L429" s="81"/>
    </row>
    <row r="430">
      <c r="A430" s="77"/>
      <c r="B430" s="78"/>
      <c r="C430" s="78"/>
      <c r="D430" s="78"/>
      <c r="E430" s="78"/>
      <c r="F430" s="81"/>
      <c r="G430" s="82"/>
      <c r="H430" s="78"/>
      <c r="I430" s="81"/>
      <c r="J430" s="81"/>
      <c r="K430" s="81"/>
      <c r="L430" s="81"/>
    </row>
    <row r="431">
      <c r="A431" s="77"/>
      <c r="B431" s="78"/>
      <c r="C431" s="78"/>
      <c r="D431" s="78"/>
      <c r="E431" s="78"/>
      <c r="F431" s="81"/>
      <c r="G431" s="82"/>
      <c r="H431" s="78"/>
      <c r="I431" s="81"/>
      <c r="J431" s="81"/>
      <c r="K431" s="81"/>
      <c r="L431" s="81"/>
    </row>
    <row r="432">
      <c r="A432" s="77"/>
      <c r="B432" s="78"/>
      <c r="C432" s="78"/>
      <c r="D432" s="78"/>
      <c r="E432" s="78"/>
      <c r="F432" s="81"/>
      <c r="G432" s="82"/>
      <c r="H432" s="78"/>
      <c r="I432" s="81"/>
      <c r="J432" s="81"/>
      <c r="K432" s="81"/>
      <c r="L432" s="81"/>
    </row>
    <row r="433">
      <c r="A433" s="77"/>
      <c r="B433" s="78"/>
      <c r="C433" s="78"/>
      <c r="D433" s="78"/>
      <c r="E433" s="78"/>
      <c r="F433" s="81"/>
      <c r="G433" s="82"/>
      <c r="H433" s="78"/>
      <c r="I433" s="81"/>
      <c r="J433" s="81"/>
      <c r="K433" s="81"/>
      <c r="L433" s="81"/>
    </row>
    <row r="434">
      <c r="A434" s="77"/>
      <c r="B434" s="78"/>
      <c r="C434" s="78"/>
      <c r="D434" s="78"/>
      <c r="E434" s="78"/>
      <c r="F434" s="81"/>
      <c r="G434" s="82"/>
      <c r="H434" s="78"/>
      <c r="I434" s="81"/>
      <c r="J434" s="81"/>
      <c r="K434" s="81"/>
      <c r="L434" s="81"/>
    </row>
    <row r="435">
      <c r="A435" s="77"/>
      <c r="B435" s="78"/>
      <c r="C435" s="78"/>
      <c r="D435" s="78"/>
      <c r="E435" s="78"/>
      <c r="F435" s="81"/>
      <c r="G435" s="82"/>
      <c r="H435" s="78"/>
      <c r="I435" s="81"/>
      <c r="J435" s="81"/>
      <c r="K435" s="81"/>
      <c r="L435" s="81"/>
    </row>
    <row r="436">
      <c r="A436" s="77"/>
      <c r="B436" s="78"/>
      <c r="C436" s="78"/>
      <c r="D436" s="78"/>
      <c r="E436" s="78"/>
      <c r="F436" s="81"/>
      <c r="G436" s="82"/>
      <c r="H436" s="78"/>
      <c r="I436" s="81"/>
      <c r="J436" s="81"/>
      <c r="K436" s="81"/>
      <c r="L436" s="81"/>
    </row>
    <row r="437">
      <c r="A437" s="77"/>
      <c r="B437" s="78"/>
      <c r="C437" s="78"/>
      <c r="D437" s="78"/>
      <c r="E437" s="78"/>
      <c r="F437" s="81"/>
      <c r="G437" s="82"/>
      <c r="H437" s="78"/>
      <c r="I437" s="81"/>
      <c r="J437" s="81"/>
      <c r="K437" s="81"/>
      <c r="L437" s="81"/>
    </row>
    <row r="438">
      <c r="A438" s="77"/>
      <c r="B438" s="78"/>
      <c r="C438" s="78"/>
      <c r="D438" s="78"/>
      <c r="E438" s="78"/>
      <c r="F438" s="81"/>
      <c r="G438" s="82"/>
      <c r="H438" s="78"/>
      <c r="I438" s="81"/>
      <c r="J438" s="81"/>
      <c r="K438" s="81"/>
      <c r="L438" s="81"/>
    </row>
    <row r="439">
      <c r="A439" s="77"/>
      <c r="B439" s="78"/>
      <c r="C439" s="78"/>
      <c r="D439" s="78"/>
      <c r="E439" s="78"/>
      <c r="F439" s="81"/>
      <c r="G439" s="82"/>
      <c r="H439" s="78"/>
      <c r="I439" s="81"/>
      <c r="J439" s="81"/>
      <c r="K439" s="81"/>
      <c r="L439" s="81"/>
    </row>
    <row r="440">
      <c r="A440" s="77"/>
      <c r="B440" s="78"/>
      <c r="C440" s="78"/>
      <c r="D440" s="78"/>
      <c r="E440" s="78"/>
      <c r="F440" s="81"/>
      <c r="G440" s="82"/>
      <c r="H440" s="78"/>
      <c r="I440" s="81"/>
      <c r="J440" s="81"/>
      <c r="K440" s="81"/>
      <c r="L440" s="81"/>
    </row>
    <row r="441">
      <c r="A441" s="77"/>
      <c r="B441" s="78"/>
      <c r="C441" s="78"/>
      <c r="D441" s="78"/>
      <c r="E441" s="78"/>
      <c r="F441" s="81"/>
      <c r="G441" s="82"/>
      <c r="H441" s="78"/>
      <c r="I441" s="81"/>
      <c r="J441" s="81"/>
      <c r="K441" s="81"/>
      <c r="L441" s="81"/>
    </row>
    <row r="442">
      <c r="A442" s="77"/>
      <c r="B442" s="78"/>
      <c r="C442" s="78"/>
      <c r="D442" s="78"/>
      <c r="E442" s="78"/>
      <c r="F442" s="81"/>
      <c r="G442" s="82"/>
      <c r="H442" s="78"/>
      <c r="I442" s="81"/>
      <c r="J442" s="81"/>
      <c r="K442" s="81"/>
      <c r="L442" s="81"/>
    </row>
    <row r="443">
      <c r="A443" s="77"/>
      <c r="B443" s="78"/>
      <c r="C443" s="78"/>
      <c r="D443" s="78"/>
      <c r="E443" s="78"/>
      <c r="F443" s="81"/>
      <c r="G443" s="82"/>
      <c r="H443" s="78"/>
      <c r="I443" s="81"/>
      <c r="J443" s="81"/>
      <c r="K443" s="81"/>
      <c r="L443" s="81"/>
    </row>
    <row r="444">
      <c r="A444" s="77"/>
      <c r="B444" s="78"/>
      <c r="C444" s="78"/>
      <c r="D444" s="78"/>
      <c r="E444" s="78"/>
      <c r="F444" s="81"/>
      <c r="G444" s="82"/>
      <c r="H444" s="78"/>
      <c r="I444" s="81"/>
      <c r="J444" s="81"/>
      <c r="K444" s="81"/>
      <c r="L444" s="81"/>
    </row>
    <row r="445">
      <c r="A445" s="77"/>
      <c r="B445" s="78"/>
      <c r="C445" s="78"/>
      <c r="D445" s="78"/>
      <c r="E445" s="78"/>
      <c r="F445" s="81"/>
      <c r="G445" s="82"/>
      <c r="H445" s="78"/>
      <c r="I445" s="81"/>
      <c r="J445" s="81"/>
      <c r="K445" s="81"/>
      <c r="L445" s="81"/>
    </row>
    <row r="446">
      <c r="A446" s="77"/>
      <c r="B446" s="78"/>
      <c r="C446" s="78"/>
      <c r="D446" s="78"/>
      <c r="E446" s="78"/>
      <c r="F446" s="81"/>
      <c r="G446" s="82"/>
      <c r="H446" s="78"/>
      <c r="I446" s="81"/>
      <c r="J446" s="81"/>
      <c r="K446" s="81"/>
      <c r="L446" s="81"/>
    </row>
    <row r="447">
      <c r="A447" s="77"/>
      <c r="B447" s="78"/>
      <c r="C447" s="78"/>
      <c r="D447" s="78"/>
      <c r="E447" s="78"/>
      <c r="F447" s="81"/>
      <c r="G447" s="82"/>
      <c r="H447" s="78"/>
      <c r="I447" s="81"/>
      <c r="J447" s="81"/>
      <c r="K447" s="81"/>
      <c r="L447" s="81"/>
    </row>
    <row r="448">
      <c r="A448" s="77"/>
      <c r="B448" s="78"/>
      <c r="C448" s="78"/>
      <c r="D448" s="78"/>
      <c r="E448" s="78"/>
      <c r="F448" s="81"/>
      <c r="G448" s="82"/>
      <c r="H448" s="78"/>
      <c r="I448" s="81"/>
      <c r="J448" s="81"/>
      <c r="K448" s="81"/>
      <c r="L448" s="81"/>
    </row>
    <row r="449">
      <c r="A449" s="77"/>
      <c r="B449" s="78"/>
      <c r="C449" s="78"/>
      <c r="D449" s="78"/>
      <c r="E449" s="78"/>
      <c r="F449" s="81"/>
      <c r="G449" s="82"/>
      <c r="H449" s="78"/>
      <c r="I449" s="81"/>
      <c r="J449" s="81"/>
      <c r="K449" s="81"/>
      <c r="L449" s="81"/>
    </row>
    <row r="450">
      <c r="A450" s="77"/>
      <c r="B450" s="78"/>
      <c r="C450" s="78"/>
      <c r="D450" s="78"/>
      <c r="E450" s="78"/>
      <c r="F450" s="81"/>
      <c r="G450" s="82"/>
      <c r="H450" s="78"/>
      <c r="I450" s="81"/>
      <c r="J450" s="81"/>
      <c r="K450" s="81"/>
      <c r="L450" s="81"/>
    </row>
    <row r="451">
      <c r="A451" s="77"/>
      <c r="B451" s="78"/>
      <c r="C451" s="78"/>
      <c r="D451" s="78"/>
      <c r="E451" s="78"/>
      <c r="F451" s="81"/>
      <c r="G451" s="82"/>
      <c r="H451" s="78"/>
      <c r="I451" s="81"/>
      <c r="J451" s="81"/>
      <c r="K451" s="81"/>
      <c r="L451" s="81"/>
    </row>
    <row r="452">
      <c r="A452" s="77"/>
      <c r="B452" s="78"/>
      <c r="C452" s="78"/>
      <c r="D452" s="78"/>
      <c r="E452" s="78"/>
      <c r="F452" s="81"/>
      <c r="G452" s="82"/>
      <c r="H452" s="78"/>
      <c r="I452" s="81"/>
      <c r="J452" s="81"/>
      <c r="K452" s="81"/>
      <c r="L452" s="81"/>
    </row>
    <row r="453">
      <c r="A453" s="77"/>
      <c r="B453" s="78"/>
      <c r="C453" s="78"/>
      <c r="D453" s="78"/>
      <c r="E453" s="78"/>
      <c r="F453" s="81"/>
      <c r="G453" s="82"/>
      <c r="H453" s="78"/>
      <c r="I453" s="81"/>
      <c r="J453" s="81"/>
      <c r="K453" s="81"/>
      <c r="L453" s="81"/>
    </row>
    <row r="454">
      <c r="A454" s="77"/>
      <c r="B454" s="78"/>
      <c r="C454" s="78"/>
      <c r="D454" s="78"/>
      <c r="E454" s="78"/>
      <c r="F454" s="81"/>
      <c r="G454" s="82"/>
      <c r="H454" s="78"/>
      <c r="I454" s="81"/>
      <c r="J454" s="81"/>
      <c r="K454" s="81"/>
      <c r="L454" s="81"/>
    </row>
    <row r="455">
      <c r="A455" s="77"/>
      <c r="B455" s="78"/>
      <c r="C455" s="78"/>
      <c r="D455" s="78"/>
      <c r="E455" s="78"/>
      <c r="F455" s="81"/>
      <c r="G455" s="82"/>
      <c r="H455" s="78"/>
      <c r="I455" s="81"/>
      <c r="J455" s="81"/>
      <c r="K455" s="81"/>
      <c r="L455" s="81"/>
    </row>
    <row r="456">
      <c r="A456" s="77"/>
      <c r="B456" s="78"/>
      <c r="C456" s="78"/>
      <c r="D456" s="78"/>
      <c r="E456" s="78"/>
      <c r="F456" s="81"/>
      <c r="G456" s="82"/>
      <c r="H456" s="78"/>
      <c r="I456" s="81"/>
      <c r="J456" s="81"/>
      <c r="K456" s="81"/>
      <c r="L456" s="81"/>
    </row>
    <row r="457">
      <c r="A457" s="77"/>
      <c r="B457" s="78"/>
      <c r="C457" s="78"/>
      <c r="D457" s="78"/>
      <c r="E457" s="78"/>
      <c r="F457" s="81"/>
      <c r="G457" s="82"/>
      <c r="H457" s="78"/>
      <c r="I457" s="81"/>
      <c r="J457" s="81"/>
      <c r="K457" s="81"/>
      <c r="L457" s="81"/>
    </row>
    <row r="458">
      <c r="A458" s="77"/>
      <c r="B458" s="78"/>
      <c r="C458" s="78"/>
      <c r="D458" s="78"/>
      <c r="E458" s="78"/>
      <c r="F458" s="81"/>
      <c r="G458" s="82"/>
      <c r="H458" s="78"/>
      <c r="I458" s="81"/>
      <c r="J458" s="81"/>
      <c r="K458" s="81"/>
      <c r="L458" s="81"/>
    </row>
    <row r="459">
      <c r="A459" s="77"/>
      <c r="B459" s="78"/>
      <c r="C459" s="78"/>
      <c r="D459" s="78"/>
      <c r="E459" s="78"/>
      <c r="F459" s="81"/>
      <c r="G459" s="82"/>
      <c r="H459" s="78"/>
      <c r="I459" s="81"/>
      <c r="J459" s="81"/>
      <c r="K459" s="81"/>
      <c r="L459" s="81"/>
    </row>
    <row r="460">
      <c r="A460" s="77"/>
      <c r="B460" s="78"/>
      <c r="C460" s="78"/>
      <c r="D460" s="78"/>
      <c r="E460" s="78"/>
      <c r="F460" s="81"/>
      <c r="G460" s="82"/>
      <c r="H460" s="78"/>
      <c r="I460" s="81"/>
      <c r="J460" s="81"/>
      <c r="K460" s="81"/>
      <c r="L460" s="81"/>
    </row>
    <row r="461">
      <c r="A461" s="77"/>
      <c r="B461" s="78"/>
      <c r="C461" s="78"/>
      <c r="D461" s="78"/>
      <c r="E461" s="78"/>
      <c r="F461" s="81"/>
      <c r="G461" s="82"/>
      <c r="H461" s="78"/>
      <c r="I461" s="81"/>
      <c r="J461" s="81"/>
      <c r="K461" s="81"/>
      <c r="L461" s="81"/>
    </row>
    <row r="462">
      <c r="A462" s="77"/>
      <c r="B462" s="78"/>
      <c r="C462" s="78"/>
      <c r="D462" s="78"/>
      <c r="E462" s="78"/>
      <c r="F462" s="81"/>
      <c r="G462" s="82"/>
      <c r="H462" s="78"/>
      <c r="I462" s="81"/>
      <c r="J462" s="81"/>
      <c r="K462" s="81"/>
      <c r="L462" s="81"/>
    </row>
    <row r="463">
      <c r="A463" s="77"/>
      <c r="B463" s="78"/>
      <c r="C463" s="78"/>
      <c r="D463" s="78"/>
      <c r="E463" s="78"/>
      <c r="F463" s="81"/>
      <c r="G463" s="82"/>
      <c r="H463" s="78"/>
      <c r="I463" s="81"/>
      <c r="J463" s="81"/>
      <c r="K463" s="81"/>
      <c r="L463" s="81"/>
    </row>
    <row r="464">
      <c r="A464" s="77"/>
      <c r="B464" s="78"/>
      <c r="C464" s="78"/>
      <c r="D464" s="78"/>
      <c r="E464" s="78"/>
      <c r="F464" s="81"/>
      <c r="G464" s="82"/>
      <c r="H464" s="78"/>
      <c r="I464" s="81"/>
      <c r="J464" s="81"/>
      <c r="K464" s="81"/>
      <c r="L464" s="81"/>
    </row>
    <row r="465">
      <c r="A465" s="77"/>
      <c r="B465" s="78"/>
      <c r="C465" s="78"/>
      <c r="D465" s="78"/>
      <c r="E465" s="78"/>
      <c r="F465" s="81"/>
      <c r="G465" s="82"/>
      <c r="H465" s="78"/>
      <c r="I465" s="81"/>
      <c r="J465" s="81"/>
      <c r="K465" s="81"/>
      <c r="L465" s="81"/>
    </row>
    <row r="466">
      <c r="A466" s="77"/>
      <c r="B466" s="78"/>
      <c r="C466" s="78"/>
      <c r="D466" s="78"/>
      <c r="E466" s="78"/>
      <c r="F466" s="81"/>
      <c r="G466" s="82"/>
      <c r="H466" s="78"/>
      <c r="I466" s="81"/>
      <c r="J466" s="81"/>
      <c r="K466" s="81"/>
      <c r="L466" s="81"/>
    </row>
    <row r="467">
      <c r="A467" s="77"/>
      <c r="B467" s="78"/>
      <c r="C467" s="78"/>
      <c r="D467" s="78"/>
      <c r="E467" s="78"/>
      <c r="F467" s="81"/>
      <c r="G467" s="82"/>
      <c r="H467" s="78"/>
      <c r="I467" s="81"/>
      <c r="J467" s="81"/>
      <c r="K467" s="81"/>
      <c r="L467" s="81"/>
    </row>
    <row r="468">
      <c r="A468" s="77"/>
      <c r="B468" s="78"/>
      <c r="C468" s="78"/>
      <c r="D468" s="78"/>
      <c r="E468" s="78"/>
      <c r="F468" s="81"/>
      <c r="G468" s="82"/>
      <c r="H468" s="78"/>
      <c r="I468" s="81"/>
      <c r="J468" s="81"/>
      <c r="K468" s="81"/>
      <c r="L468" s="81"/>
    </row>
    <row r="469">
      <c r="A469" s="77"/>
      <c r="B469" s="78"/>
      <c r="C469" s="78"/>
      <c r="D469" s="78"/>
      <c r="E469" s="78"/>
      <c r="F469" s="81"/>
      <c r="G469" s="82"/>
      <c r="H469" s="78"/>
      <c r="I469" s="81"/>
      <c r="J469" s="81"/>
      <c r="K469" s="81"/>
      <c r="L469" s="81"/>
    </row>
    <row r="470">
      <c r="A470" s="77"/>
      <c r="B470" s="78"/>
      <c r="C470" s="78"/>
      <c r="D470" s="78"/>
      <c r="E470" s="78"/>
      <c r="F470" s="81"/>
      <c r="G470" s="82"/>
      <c r="H470" s="78"/>
      <c r="I470" s="81"/>
      <c r="J470" s="81"/>
      <c r="K470" s="81"/>
      <c r="L470" s="81"/>
    </row>
    <row r="471">
      <c r="A471" s="77"/>
      <c r="B471" s="78"/>
      <c r="C471" s="78"/>
      <c r="D471" s="78"/>
      <c r="E471" s="78"/>
      <c r="F471" s="81"/>
      <c r="G471" s="82"/>
      <c r="H471" s="78"/>
      <c r="I471" s="81"/>
      <c r="J471" s="81"/>
      <c r="K471" s="81"/>
      <c r="L471" s="81"/>
    </row>
    <row r="472">
      <c r="A472" s="77"/>
      <c r="B472" s="78"/>
      <c r="C472" s="78"/>
      <c r="D472" s="78"/>
      <c r="E472" s="78"/>
      <c r="F472" s="81"/>
      <c r="G472" s="82"/>
      <c r="H472" s="78"/>
      <c r="I472" s="81"/>
      <c r="J472" s="81"/>
      <c r="K472" s="81"/>
      <c r="L472" s="81"/>
    </row>
    <row r="473">
      <c r="A473" s="77"/>
      <c r="B473" s="78"/>
      <c r="C473" s="78"/>
      <c r="D473" s="78"/>
      <c r="E473" s="78"/>
      <c r="F473" s="81"/>
      <c r="G473" s="82"/>
      <c r="H473" s="78"/>
      <c r="I473" s="81"/>
      <c r="J473" s="81"/>
      <c r="K473" s="81"/>
      <c r="L473" s="81"/>
    </row>
    <row r="474">
      <c r="A474" s="77"/>
      <c r="B474" s="78"/>
      <c r="C474" s="78"/>
      <c r="D474" s="78"/>
      <c r="E474" s="78"/>
      <c r="F474" s="81"/>
      <c r="G474" s="82"/>
      <c r="H474" s="78"/>
      <c r="I474" s="81"/>
      <c r="J474" s="81"/>
      <c r="K474" s="81"/>
      <c r="L474" s="81"/>
    </row>
    <row r="475">
      <c r="A475" s="77"/>
      <c r="B475" s="78"/>
      <c r="C475" s="78"/>
      <c r="D475" s="78"/>
      <c r="E475" s="78"/>
      <c r="F475" s="81"/>
      <c r="G475" s="82"/>
      <c r="H475" s="78"/>
      <c r="I475" s="81"/>
      <c r="J475" s="81"/>
      <c r="K475" s="81"/>
      <c r="L475" s="81"/>
    </row>
    <row r="476">
      <c r="A476" s="77"/>
      <c r="B476" s="78"/>
      <c r="C476" s="78"/>
      <c r="D476" s="78"/>
      <c r="E476" s="78"/>
      <c r="F476" s="81"/>
      <c r="G476" s="82"/>
      <c r="H476" s="78"/>
      <c r="I476" s="81"/>
      <c r="J476" s="81"/>
      <c r="K476" s="81"/>
      <c r="L476" s="81"/>
    </row>
    <row r="477">
      <c r="A477" s="77"/>
      <c r="B477" s="78"/>
      <c r="C477" s="78"/>
      <c r="D477" s="78"/>
      <c r="E477" s="78"/>
      <c r="F477" s="81"/>
      <c r="G477" s="82"/>
      <c r="H477" s="78"/>
      <c r="I477" s="81"/>
      <c r="J477" s="81"/>
      <c r="K477" s="81"/>
      <c r="L477" s="81"/>
    </row>
    <row r="478">
      <c r="A478" s="77"/>
      <c r="B478" s="78"/>
      <c r="C478" s="78"/>
      <c r="D478" s="78"/>
      <c r="E478" s="78"/>
      <c r="F478" s="81"/>
      <c r="G478" s="82"/>
      <c r="H478" s="78"/>
      <c r="I478" s="81"/>
      <c r="J478" s="81"/>
      <c r="K478" s="81"/>
      <c r="L478" s="81"/>
    </row>
    <row r="479">
      <c r="A479" s="77"/>
      <c r="B479" s="78"/>
      <c r="C479" s="78"/>
      <c r="D479" s="78"/>
      <c r="E479" s="78"/>
      <c r="F479" s="81"/>
      <c r="G479" s="82"/>
      <c r="H479" s="78"/>
      <c r="I479" s="81"/>
      <c r="J479" s="81"/>
      <c r="K479" s="81"/>
      <c r="L479" s="81"/>
    </row>
    <row r="480">
      <c r="A480" s="77"/>
      <c r="B480" s="78"/>
      <c r="C480" s="78"/>
      <c r="D480" s="78"/>
      <c r="E480" s="78"/>
      <c r="F480" s="81"/>
      <c r="G480" s="82"/>
      <c r="H480" s="78"/>
      <c r="I480" s="81"/>
      <c r="J480" s="81"/>
      <c r="K480" s="81"/>
      <c r="L480" s="81"/>
    </row>
    <row r="481">
      <c r="A481" s="77"/>
      <c r="B481" s="78"/>
      <c r="C481" s="78"/>
      <c r="D481" s="78"/>
      <c r="E481" s="78"/>
      <c r="F481" s="81"/>
      <c r="G481" s="82"/>
      <c r="H481" s="78"/>
      <c r="I481" s="81"/>
      <c r="J481" s="81"/>
      <c r="K481" s="81"/>
      <c r="L481" s="81"/>
    </row>
    <row r="482">
      <c r="A482" s="77"/>
      <c r="B482" s="78"/>
      <c r="C482" s="78"/>
      <c r="D482" s="78"/>
      <c r="E482" s="78"/>
      <c r="F482" s="81"/>
      <c r="G482" s="82"/>
      <c r="H482" s="78"/>
      <c r="I482" s="81"/>
      <c r="J482" s="81"/>
      <c r="K482" s="81"/>
      <c r="L482" s="81"/>
    </row>
    <row r="483">
      <c r="A483" s="77"/>
      <c r="B483" s="78"/>
      <c r="C483" s="78"/>
      <c r="D483" s="78"/>
      <c r="E483" s="78"/>
      <c r="F483" s="81"/>
      <c r="G483" s="82"/>
      <c r="H483" s="78"/>
      <c r="I483" s="81"/>
      <c r="J483" s="81"/>
      <c r="K483" s="81"/>
      <c r="L483" s="81"/>
    </row>
    <row r="484">
      <c r="A484" s="77"/>
      <c r="B484" s="78"/>
      <c r="C484" s="78"/>
      <c r="D484" s="78"/>
      <c r="E484" s="78"/>
      <c r="F484" s="81"/>
      <c r="G484" s="82"/>
      <c r="H484" s="78"/>
      <c r="I484" s="81"/>
      <c r="J484" s="81"/>
      <c r="K484" s="81"/>
      <c r="L484" s="81"/>
    </row>
    <row r="485">
      <c r="A485" s="77"/>
      <c r="B485" s="78"/>
      <c r="C485" s="78"/>
      <c r="D485" s="78"/>
      <c r="E485" s="78"/>
      <c r="F485" s="81"/>
      <c r="G485" s="82"/>
      <c r="H485" s="78"/>
      <c r="I485" s="81"/>
      <c r="J485" s="81"/>
      <c r="K485" s="81"/>
      <c r="L485" s="81"/>
    </row>
    <row r="486">
      <c r="A486" s="77"/>
      <c r="B486" s="78"/>
      <c r="C486" s="78"/>
      <c r="D486" s="78"/>
      <c r="E486" s="78"/>
      <c r="F486" s="81"/>
      <c r="G486" s="82"/>
      <c r="H486" s="78"/>
      <c r="I486" s="81"/>
      <c r="J486" s="81"/>
      <c r="K486" s="81"/>
      <c r="L486" s="81"/>
    </row>
    <row r="487">
      <c r="A487" s="77"/>
      <c r="B487" s="78"/>
      <c r="C487" s="78"/>
      <c r="D487" s="78"/>
      <c r="E487" s="78"/>
      <c r="F487" s="81"/>
      <c r="G487" s="82"/>
      <c r="H487" s="78"/>
      <c r="I487" s="81"/>
      <c r="J487" s="81"/>
      <c r="K487" s="81"/>
      <c r="L487" s="81"/>
    </row>
    <row r="488">
      <c r="A488" s="77"/>
      <c r="B488" s="78"/>
      <c r="C488" s="78"/>
      <c r="D488" s="78"/>
      <c r="E488" s="78"/>
      <c r="F488" s="81"/>
      <c r="G488" s="82"/>
      <c r="H488" s="78"/>
      <c r="I488" s="81"/>
      <c r="J488" s="81"/>
      <c r="K488" s="81"/>
      <c r="L488" s="81"/>
    </row>
    <row r="489">
      <c r="A489" s="77"/>
      <c r="B489" s="78"/>
      <c r="C489" s="78"/>
      <c r="D489" s="78"/>
      <c r="E489" s="78"/>
      <c r="F489" s="81"/>
      <c r="G489" s="82"/>
      <c r="H489" s="78"/>
      <c r="I489" s="81"/>
      <c r="J489" s="81"/>
      <c r="K489" s="81"/>
      <c r="L489" s="81"/>
    </row>
    <row r="490">
      <c r="A490" s="77"/>
      <c r="B490" s="78"/>
      <c r="C490" s="78"/>
      <c r="D490" s="78"/>
      <c r="E490" s="78"/>
      <c r="F490" s="81"/>
      <c r="G490" s="82"/>
      <c r="H490" s="78"/>
      <c r="I490" s="81"/>
      <c r="J490" s="81"/>
      <c r="K490" s="81"/>
      <c r="L490" s="81"/>
    </row>
    <row r="491">
      <c r="A491" s="77"/>
      <c r="B491" s="78"/>
      <c r="C491" s="78"/>
      <c r="D491" s="78"/>
      <c r="E491" s="78"/>
      <c r="F491" s="81"/>
      <c r="G491" s="82"/>
      <c r="H491" s="78"/>
      <c r="I491" s="81"/>
      <c r="J491" s="81"/>
      <c r="K491" s="81"/>
      <c r="L491" s="81"/>
    </row>
    <row r="492">
      <c r="A492" s="77"/>
      <c r="B492" s="78"/>
      <c r="C492" s="78"/>
      <c r="D492" s="78"/>
      <c r="E492" s="78"/>
      <c r="F492" s="81"/>
      <c r="G492" s="82"/>
      <c r="H492" s="78"/>
      <c r="I492" s="81"/>
      <c r="J492" s="81"/>
      <c r="K492" s="81"/>
      <c r="L492" s="81"/>
    </row>
    <row r="493">
      <c r="A493" s="77"/>
      <c r="B493" s="78"/>
      <c r="C493" s="78"/>
      <c r="D493" s="78"/>
      <c r="E493" s="78"/>
      <c r="F493" s="81"/>
      <c r="G493" s="82"/>
      <c r="H493" s="78"/>
      <c r="I493" s="81"/>
      <c r="J493" s="81"/>
      <c r="K493" s="81"/>
      <c r="L493" s="81"/>
    </row>
    <row r="494">
      <c r="A494" s="77"/>
      <c r="B494" s="78"/>
      <c r="C494" s="78"/>
      <c r="D494" s="78"/>
      <c r="E494" s="78"/>
      <c r="F494" s="81"/>
      <c r="G494" s="82"/>
      <c r="H494" s="78"/>
      <c r="I494" s="81"/>
      <c r="J494" s="81"/>
      <c r="K494" s="81"/>
      <c r="L494" s="81"/>
    </row>
    <row r="495">
      <c r="A495" s="77"/>
      <c r="B495" s="78"/>
      <c r="C495" s="78"/>
      <c r="D495" s="78"/>
      <c r="E495" s="78"/>
      <c r="F495" s="81"/>
      <c r="G495" s="82"/>
      <c r="H495" s="78"/>
      <c r="I495" s="81"/>
      <c r="J495" s="81"/>
      <c r="K495" s="81"/>
      <c r="L495" s="81"/>
    </row>
    <row r="496">
      <c r="A496" s="77"/>
      <c r="B496" s="78"/>
      <c r="C496" s="78"/>
      <c r="D496" s="78"/>
      <c r="E496" s="78"/>
      <c r="F496" s="81"/>
      <c r="G496" s="82"/>
      <c r="H496" s="78"/>
      <c r="I496" s="81"/>
      <c r="J496" s="81"/>
      <c r="K496" s="81"/>
      <c r="L496" s="81"/>
    </row>
    <row r="497">
      <c r="A497" s="77"/>
      <c r="B497" s="78"/>
      <c r="C497" s="78"/>
      <c r="D497" s="78"/>
      <c r="E497" s="78"/>
      <c r="F497" s="81"/>
      <c r="G497" s="82"/>
      <c r="H497" s="78"/>
      <c r="I497" s="81"/>
      <c r="J497" s="81"/>
      <c r="K497" s="81"/>
      <c r="L497" s="81"/>
    </row>
    <row r="498">
      <c r="A498" s="77"/>
      <c r="B498" s="78"/>
      <c r="C498" s="78"/>
      <c r="D498" s="78"/>
      <c r="E498" s="78"/>
      <c r="F498" s="81"/>
      <c r="G498" s="82"/>
      <c r="H498" s="78"/>
      <c r="I498" s="81"/>
      <c r="J498" s="81"/>
      <c r="K498" s="81"/>
      <c r="L498" s="81"/>
    </row>
    <row r="499">
      <c r="A499" s="77"/>
      <c r="B499" s="78"/>
      <c r="C499" s="78"/>
      <c r="D499" s="78"/>
      <c r="E499" s="78"/>
      <c r="F499" s="81"/>
      <c r="G499" s="82"/>
      <c r="H499" s="78"/>
      <c r="I499" s="81"/>
      <c r="J499" s="81"/>
      <c r="K499" s="81"/>
      <c r="L499" s="81"/>
    </row>
    <row r="500">
      <c r="A500" s="77"/>
      <c r="B500" s="78"/>
      <c r="C500" s="78"/>
      <c r="D500" s="78"/>
      <c r="E500" s="78"/>
      <c r="F500" s="81"/>
      <c r="G500" s="82"/>
      <c r="H500" s="78"/>
      <c r="I500" s="81"/>
      <c r="J500" s="81"/>
      <c r="K500" s="81"/>
      <c r="L500" s="81"/>
    </row>
    <row r="501">
      <c r="A501" s="77"/>
      <c r="B501" s="78"/>
      <c r="C501" s="78"/>
      <c r="D501" s="78"/>
      <c r="E501" s="78"/>
      <c r="F501" s="81"/>
      <c r="G501" s="82"/>
      <c r="H501" s="78"/>
      <c r="I501" s="81"/>
      <c r="J501" s="81"/>
      <c r="K501" s="81"/>
      <c r="L501" s="81"/>
    </row>
    <row r="502">
      <c r="A502" s="77"/>
      <c r="B502" s="78"/>
      <c r="C502" s="78"/>
      <c r="D502" s="78"/>
      <c r="E502" s="78"/>
      <c r="F502" s="81"/>
      <c r="G502" s="82"/>
      <c r="H502" s="78"/>
      <c r="I502" s="81"/>
      <c r="J502" s="81"/>
      <c r="K502" s="81"/>
      <c r="L502" s="81"/>
    </row>
    <row r="503">
      <c r="A503" s="77"/>
      <c r="B503" s="78"/>
      <c r="C503" s="78"/>
      <c r="D503" s="78"/>
      <c r="E503" s="78"/>
      <c r="F503" s="81"/>
      <c r="G503" s="82"/>
      <c r="H503" s="78"/>
      <c r="I503" s="81"/>
      <c r="J503" s="81"/>
      <c r="K503" s="81"/>
      <c r="L503" s="81"/>
    </row>
    <row r="504">
      <c r="A504" s="77"/>
      <c r="B504" s="78"/>
      <c r="C504" s="78"/>
      <c r="D504" s="78"/>
      <c r="E504" s="78"/>
      <c r="F504" s="81"/>
      <c r="G504" s="82"/>
      <c r="H504" s="78"/>
      <c r="I504" s="81"/>
      <c r="J504" s="81"/>
      <c r="K504" s="81"/>
      <c r="L504" s="81"/>
    </row>
    <row r="505">
      <c r="A505" s="77"/>
      <c r="B505" s="78"/>
      <c r="C505" s="78"/>
      <c r="D505" s="78"/>
      <c r="E505" s="78"/>
      <c r="F505" s="81"/>
      <c r="G505" s="82"/>
      <c r="H505" s="78"/>
      <c r="I505" s="81"/>
      <c r="J505" s="81"/>
      <c r="K505" s="81"/>
      <c r="L505" s="81"/>
    </row>
    <row r="506">
      <c r="A506" s="77"/>
      <c r="B506" s="78"/>
      <c r="C506" s="78"/>
      <c r="D506" s="78"/>
      <c r="E506" s="78"/>
      <c r="F506" s="81"/>
      <c r="G506" s="82"/>
      <c r="H506" s="78"/>
      <c r="I506" s="81"/>
      <c r="J506" s="81"/>
      <c r="K506" s="81"/>
      <c r="L506" s="81"/>
    </row>
    <row r="507">
      <c r="A507" s="77"/>
      <c r="B507" s="78"/>
      <c r="C507" s="78"/>
      <c r="D507" s="78"/>
      <c r="E507" s="78"/>
      <c r="F507" s="81"/>
      <c r="G507" s="82"/>
      <c r="H507" s="78"/>
      <c r="I507" s="81"/>
      <c r="J507" s="81"/>
      <c r="K507" s="81"/>
      <c r="L507" s="81"/>
    </row>
    <row r="508">
      <c r="A508" s="77"/>
      <c r="B508" s="78"/>
      <c r="C508" s="78"/>
      <c r="D508" s="78"/>
      <c r="E508" s="78"/>
      <c r="F508" s="81"/>
      <c r="G508" s="82"/>
      <c r="H508" s="78"/>
      <c r="I508" s="81"/>
      <c r="J508" s="81"/>
      <c r="K508" s="81"/>
      <c r="L508" s="81"/>
    </row>
    <row r="509">
      <c r="A509" s="77"/>
      <c r="B509" s="78"/>
      <c r="C509" s="78"/>
      <c r="D509" s="78"/>
      <c r="E509" s="78"/>
      <c r="F509" s="81"/>
      <c r="G509" s="82"/>
      <c r="H509" s="78"/>
      <c r="I509" s="81"/>
      <c r="J509" s="81"/>
      <c r="K509" s="81"/>
      <c r="L509" s="81"/>
    </row>
    <row r="510">
      <c r="A510" s="77"/>
      <c r="B510" s="78"/>
      <c r="C510" s="78"/>
      <c r="D510" s="78"/>
      <c r="E510" s="78"/>
      <c r="F510" s="81"/>
      <c r="G510" s="82"/>
      <c r="H510" s="78"/>
      <c r="I510" s="81"/>
      <c r="J510" s="81"/>
      <c r="K510" s="81"/>
      <c r="L510" s="81"/>
    </row>
    <row r="511">
      <c r="A511" s="77"/>
      <c r="B511" s="78"/>
      <c r="C511" s="78"/>
      <c r="D511" s="78"/>
      <c r="E511" s="78"/>
      <c r="F511" s="81"/>
      <c r="G511" s="82"/>
      <c r="H511" s="78"/>
      <c r="I511" s="81"/>
      <c r="J511" s="81"/>
      <c r="K511" s="81"/>
      <c r="L511" s="81"/>
    </row>
    <row r="512">
      <c r="A512" s="77"/>
      <c r="B512" s="78"/>
      <c r="C512" s="78"/>
      <c r="D512" s="78"/>
      <c r="E512" s="78"/>
      <c r="F512" s="81"/>
      <c r="G512" s="82"/>
      <c r="H512" s="78"/>
      <c r="I512" s="81"/>
      <c r="J512" s="81"/>
      <c r="K512" s="81"/>
      <c r="L512" s="81"/>
    </row>
    <row r="513">
      <c r="A513" s="77"/>
      <c r="B513" s="78"/>
      <c r="C513" s="78"/>
      <c r="D513" s="78"/>
      <c r="E513" s="78"/>
      <c r="F513" s="81"/>
      <c r="G513" s="82"/>
      <c r="H513" s="78"/>
      <c r="I513" s="81"/>
      <c r="J513" s="81"/>
      <c r="K513" s="81"/>
      <c r="L513" s="81"/>
    </row>
    <row r="514">
      <c r="A514" s="77"/>
      <c r="B514" s="78"/>
      <c r="C514" s="78"/>
      <c r="D514" s="78"/>
      <c r="E514" s="78"/>
      <c r="F514" s="81"/>
      <c r="G514" s="82"/>
      <c r="H514" s="78"/>
      <c r="I514" s="81"/>
      <c r="J514" s="81"/>
      <c r="K514" s="81"/>
      <c r="L514" s="81"/>
    </row>
    <row r="515">
      <c r="A515" s="77"/>
      <c r="B515" s="78"/>
      <c r="C515" s="78"/>
      <c r="D515" s="78"/>
      <c r="E515" s="78"/>
      <c r="F515" s="81"/>
      <c r="G515" s="82"/>
      <c r="H515" s="78"/>
      <c r="I515" s="81"/>
      <c r="J515" s="81"/>
      <c r="K515" s="81"/>
      <c r="L515" s="81"/>
    </row>
    <row r="516">
      <c r="A516" s="77"/>
      <c r="B516" s="78"/>
      <c r="C516" s="78"/>
      <c r="D516" s="78"/>
      <c r="E516" s="78"/>
      <c r="F516" s="81"/>
      <c r="G516" s="82"/>
      <c r="H516" s="78"/>
      <c r="I516" s="81"/>
      <c r="J516" s="81"/>
      <c r="K516" s="81"/>
      <c r="L516" s="81"/>
    </row>
    <row r="517">
      <c r="A517" s="77"/>
      <c r="B517" s="78"/>
      <c r="C517" s="78"/>
      <c r="D517" s="78"/>
      <c r="E517" s="78"/>
      <c r="F517" s="81"/>
      <c r="G517" s="82"/>
      <c r="H517" s="78"/>
      <c r="I517" s="81"/>
      <c r="J517" s="81"/>
      <c r="K517" s="81"/>
      <c r="L517" s="81"/>
    </row>
    <row r="518">
      <c r="A518" s="77"/>
      <c r="B518" s="78"/>
      <c r="C518" s="78"/>
      <c r="D518" s="78"/>
      <c r="E518" s="78"/>
      <c r="F518" s="81"/>
      <c r="G518" s="82"/>
      <c r="H518" s="78"/>
      <c r="I518" s="81"/>
      <c r="J518" s="81"/>
      <c r="K518" s="81"/>
      <c r="L518" s="81"/>
    </row>
    <row r="519">
      <c r="A519" s="77"/>
      <c r="B519" s="78"/>
      <c r="C519" s="78"/>
      <c r="D519" s="78"/>
      <c r="E519" s="78"/>
      <c r="F519" s="81"/>
      <c r="G519" s="82"/>
      <c r="H519" s="78"/>
      <c r="I519" s="81"/>
      <c r="J519" s="81"/>
      <c r="K519" s="81"/>
      <c r="L519" s="81"/>
    </row>
    <row r="520">
      <c r="A520" s="77"/>
      <c r="B520" s="78"/>
      <c r="C520" s="78"/>
      <c r="D520" s="78"/>
      <c r="E520" s="78"/>
      <c r="F520" s="81"/>
      <c r="G520" s="82"/>
      <c r="H520" s="78"/>
      <c r="I520" s="81"/>
      <c r="J520" s="81"/>
      <c r="K520" s="81"/>
      <c r="L520" s="81"/>
    </row>
    <row r="521">
      <c r="A521" s="77"/>
      <c r="B521" s="78"/>
      <c r="C521" s="78"/>
      <c r="D521" s="78"/>
      <c r="E521" s="78"/>
      <c r="F521" s="81"/>
      <c r="G521" s="82"/>
      <c r="H521" s="78"/>
      <c r="I521" s="81"/>
      <c r="J521" s="81"/>
      <c r="K521" s="81"/>
      <c r="L521" s="81"/>
    </row>
    <row r="522">
      <c r="A522" s="77"/>
      <c r="B522" s="78"/>
      <c r="C522" s="78"/>
      <c r="D522" s="78"/>
      <c r="E522" s="78"/>
      <c r="F522" s="81"/>
      <c r="G522" s="82"/>
      <c r="H522" s="78"/>
      <c r="I522" s="81"/>
      <c r="J522" s="81"/>
      <c r="K522" s="81"/>
      <c r="L522" s="81"/>
    </row>
    <row r="523">
      <c r="A523" s="77"/>
      <c r="B523" s="78"/>
      <c r="C523" s="78"/>
      <c r="D523" s="78"/>
      <c r="E523" s="78"/>
      <c r="F523" s="81"/>
      <c r="G523" s="82"/>
      <c r="H523" s="78"/>
      <c r="I523" s="81"/>
      <c r="J523" s="81"/>
      <c r="K523" s="81"/>
      <c r="L523" s="81"/>
    </row>
    <row r="524">
      <c r="A524" s="77"/>
      <c r="B524" s="78"/>
      <c r="C524" s="78"/>
      <c r="D524" s="78"/>
      <c r="E524" s="78"/>
      <c r="F524" s="81"/>
      <c r="G524" s="82"/>
      <c r="H524" s="78"/>
      <c r="I524" s="81"/>
      <c r="J524" s="81"/>
      <c r="K524" s="81"/>
      <c r="L524" s="81"/>
    </row>
    <row r="525">
      <c r="A525" s="77"/>
      <c r="B525" s="78"/>
      <c r="C525" s="78"/>
      <c r="D525" s="78"/>
      <c r="E525" s="78"/>
      <c r="F525" s="81"/>
      <c r="G525" s="82"/>
      <c r="H525" s="78"/>
      <c r="I525" s="81"/>
      <c r="J525" s="81"/>
      <c r="K525" s="81"/>
      <c r="L525" s="81"/>
    </row>
    <row r="526">
      <c r="A526" s="77"/>
      <c r="B526" s="78"/>
      <c r="C526" s="78"/>
      <c r="D526" s="78"/>
      <c r="E526" s="78"/>
      <c r="F526" s="81"/>
      <c r="G526" s="82"/>
      <c r="H526" s="78"/>
      <c r="I526" s="81"/>
      <c r="J526" s="81"/>
      <c r="K526" s="81"/>
      <c r="L526" s="81"/>
    </row>
    <row r="527">
      <c r="A527" s="77"/>
      <c r="B527" s="78"/>
      <c r="C527" s="78"/>
      <c r="D527" s="78"/>
      <c r="E527" s="78"/>
      <c r="F527" s="81"/>
      <c r="G527" s="82"/>
      <c r="H527" s="78"/>
      <c r="I527" s="81"/>
      <c r="J527" s="81"/>
      <c r="K527" s="81"/>
      <c r="L527" s="81"/>
    </row>
    <row r="528">
      <c r="A528" s="77"/>
      <c r="B528" s="78"/>
      <c r="C528" s="78"/>
      <c r="D528" s="78"/>
      <c r="E528" s="78"/>
      <c r="F528" s="81"/>
      <c r="G528" s="82"/>
      <c r="H528" s="78"/>
      <c r="I528" s="81"/>
      <c r="J528" s="81"/>
      <c r="K528" s="81"/>
      <c r="L528" s="81"/>
    </row>
    <row r="529">
      <c r="A529" s="77"/>
      <c r="B529" s="78"/>
      <c r="C529" s="78"/>
      <c r="D529" s="78"/>
      <c r="E529" s="78"/>
      <c r="F529" s="81"/>
      <c r="G529" s="82"/>
      <c r="H529" s="78"/>
      <c r="I529" s="81"/>
      <c r="J529" s="81"/>
      <c r="K529" s="81"/>
      <c r="L529" s="81"/>
    </row>
    <row r="530">
      <c r="A530" s="77"/>
      <c r="B530" s="78"/>
      <c r="C530" s="78"/>
      <c r="D530" s="78"/>
      <c r="E530" s="78"/>
      <c r="F530" s="81"/>
      <c r="G530" s="82"/>
      <c r="H530" s="78"/>
      <c r="I530" s="81"/>
      <c r="J530" s="81"/>
      <c r="K530" s="81"/>
      <c r="L530" s="81"/>
    </row>
    <row r="531">
      <c r="A531" s="77"/>
      <c r="B531" s="78"/>
      <c r="C531" s="78"/>
      <c r="D531" s="78"/>
      <c r="E531" s="78"/>
      <c r="F531" s="81"/>
      <c r="G531" s="82"/>
      <c r="H531" s="78"/>
      <c r="I531" s="81"/>
      <c r="J531" s="81"/>
      <c r="K531" s="81"/>
      <c r="L531" s="81"/>
    </row>
    <row r="532">
      <c r="A532" s="77"/>
      <c r="B532" s="78"/>
      <c r="C532" s="78"/>
      <c r="D532" s="78"/>
      <c r="E532" s="78"/>
      <c r="F532" s="81"/>
      <c r="G532" s="82"/>
      <c r="H532" s="78"/>
      <c r="I532" s="81"/>
      <c r="J532" s="81"/>
      <c r="K532" s="81"/>
      <c r="L532" s="81"/>
    </row>
    <row r="533">
      <c r="A533" s="77"/>
      <c r="B533" s="78"/>
      <c r="C533" s="78"/>
      <c r="D533" s="78"/>
      <c r="E533" s="78"/>
      <c r="F533" s="81"/>
      <c r="G533" s="82"/>
      <c r="H533" s="78"/>
      <c r="I533" s="81"/>
      <c r="J533" s="81"/>
      <c r="K533" s="81"/>
      <c r="L533" s="81"/>
    </row>
    <row r="534">
      <c r="A534" s="77"/>
      <c r="B534" s="78"/>
      <c r="C534" s="78"/>
      <c r="D534" s="78"/>
      <c r="E534" s="78"/>
      <c r="F534" s="81"/>
      <c r="G534" s="82"/>
      <c r="H534" s="78"/>
      <c r="I534" s="81"/>
      <c r="J534" s="81"/>
      <c r="K534" s="81"/>
      <c r="L534" s="81"/>
    </row>
    <row r="535">
      <c r="A535" s="77"/>
      <c r="B535" s="78"/>
      <c r="C535" s="78"/>
      <c r="D535" s="78"/>
      <c r="E535" s="78"/>
      <c r="F535" s="81"/>
      <c r="G535" s="82"/>
      <c r="H535" s="78"/>
      <c r="I535" s="81"/>
      <c r="J535" s="81"/>
      <c r="K535" s="81"/>
      <c r="L535" s="81"/>
    </row>
    <row r="536">
      <c r="A536" s="77"/>
      <c r="B536" s="78"/>
      <c r="C536" s="78"/>
      <c r="D536" s="78"/>
      <c r="E536" s="78"/>
      <c r="F536" s="81"/>
      <c r="G536" s="82"/>
      <c r="H536" s="78"/>
      <c r="I536" s="81"/>
      <c r="J536" s="81"/>
      <c r="K536" s="81"/>
      <c r="L536" s="81"/>
    </row>
    <row r="537">
      <c r="A537" s="77"/>
      <c r="B537" s="78"/>
      <c r="C537" s="78"/>
      <c r="D537" s="78"/>
      <c r="E537" s="78"/>
      <c r="F537" s="81"/>
      <c r="G537" s="82"/>
      <c r="H537" s="78"/>
      <c r="I537" s="81"/>
      <c r="J537" s="81"/>
      <c r="K537" s="81"/>
      <c r="L537" s="81"/>
    </row>
    <row r="538">
      <c r="A538" s="77"/>
      <c r="B538" s="78"/>
      <c r="C538" s="78"/>
      <c r="D538" s="78"/>
      <c r="E538" s="78"/>
      <c r="F538" s="81"/>
      <c r="G538" s="82"/>
      <c r="H538" s="78"/>
      <c r="I538" s="81"/>
      <c r="J538" s="81"/>
      <c r="K538" s="81"/>
      <c r="L538" s="81"/>
    </row>
    <row r="539">
      <c r="A539" s="77"/>
      <c r="B539" s="78"/>
      <c r="C539" s="78"/>
      <c r="D539" s="78"/>
      <c r="E539" s="78"/>
      <c r="F539" s="81"/>
      <c r="G539" s="82"/>
      <c r="H539" s="78"/>
      <c r="I539" s="81"/>
      <c r="J539" s="81"/>
      <c r="K539" s="81"/>
      <c r="L539" s="81"/>
    </row>
    <row r="540">
      <c r="A540" s="77"/>
      <c r="B540" s="78"/>
      <c r="C540" s="78"/>
      <c r="D540" s="78"/>
      <c r="E540" s="78"/>
      <c r="F540" s="81"/>
      <c r="G540" s="82"/>
      <c r="H540" s="78"/>
      <c r="I540" s="81"/>
      <c r="J540" s="81"/>
      <c r="K540" s="81"/>
      <c r="L540" s="81"/>
    </row>
    <row r="541">
      <c r="A541" s="77"/>
      <c r="B541" s="78"/>
      <c r="C541" s="78"/>
      <c r="D541" s="78"/>
      <c r="E541" s="78"/>
      <c r="F541" s="81"/>
      <c r="G541" s="82"/>
      <c r="H541" s="78"/>
      <c r="I541" s="81"/>
      <c r="J541" s="81"/>
      <c r="K541" s="81"/>
      <c r="L541" s="81"/>
    </row>
    <row r="542">
      <c r="A542" s="77"/>
      <c r="B542" s="78"/>
      <c r="C542" s="78"/>
      <c r="D542" s="78"/>
      <c r="E542" s="78"/>
      <c r="F542" s="81"/>
      <c r="G542" s="82"/>
      <c r="H542" s="78"/>
      <c r="I542" s="81"/>
      <c r="J542" s="81"/>
      <c r="K542" s="81"/>
      <c r="L542" s="81"/>
    </row>
    <row r="543">
      <c r="A543" s="77"/>
      <c r="B543" s="78"/>
      <c r="C543" s="78"/>
      <c r="D543" s="78"/>
      <c r="E543" s="78"/>
      <c r="F543" s="81"/>
      <c r="G543" s="82"/>
      <c r="H543" s="78"/>
      <c r="I543" s="81"/>
      <c r="J543" s="81"/>
      <c r="K543" s="81"/>
      <c r="L543" s="81"/>
    </row>
    <row r="544">
      <c r="A544" s="77"/>
      <c r="B544" s="78"/>
      <c r="C544" s="78"/>
      <c r="D544" s="78"/>
      <c r="E544" s="78"/>
      <c r="F544" s="81"/>
      <c r="G544" s="82"/>
      <c r="H544" s="78"/>
      <c r="I544" s="81"/>
      <c r="J544" s="81"/>
      <c r="K544" s="81"/>
      <c r="L544" s="81"/>
    </row>
    <row r="545">
      <c r="A545" s="77"/>
      <c r="B545" s="78"/>
      <c r="C545" s="78"/>
      <c r="D545" s="78"/>
      <c r="E545" s="78"/>
      <c r="F545" s="81"/>
      <c r="G545" s="82"/>
      <c r="H545" s="78"/>
      <c r="I545" s="81"/>
      <c r="J545" s="81"/>
      <c r="K545" s="81"/>
      <c r="L545" s="81"/>
    </row>
    <row r="546">
      <c r="A546" s="77"/>
      <c r="B546" s="78"/>
      <c r="C546" s="78"/>
      <c r="D546" s="78"/>
      <c r="E546" s="78"/>
      <c r="F546" s="81"/>
      <c r="G546" s="82"/>
      <c r="H546" s="78"/>
      <c r="I546" s="81"/>
      <c r="J546" s="81"/>
      <c r="K546" s="81"/>
      <c r="L546" s="81"/>
    </row>
    <row r="547">
      <c r="A547" s="77"/>
      <c r="B547" s="78"/>
      <c r="C547" s="78"/>
      <c r="D547" s="78"/>
      <c r="E547" s="78"/>
      <c r="F547" s="81"/>
      <c r="G547" s="82"/>
      <c r="H547" s="78"/>
      <c r="I547" s="81"/>
      <c r="J547" s="81"/>
      <c r="K547" s="81"/>
      <c r="L547" s="81"/>
    </row>
    <row r="548">
      <c r="A548" s="77"/>
      <c r="B548" s="78"/>
      <c r="C548" s="78"/>
      <c r="D548" s="78"/>
      <c r="E548" s="78"/>
      <c r="F548" s="81"/>
      <c r="G548" s="82"/>
      <c r="H548" s="78"/>
      <c r="I548" s="81"/>
      <c r="J548" s="81"/>
      <c r="K548" s="81"/>
      <c r="L548" s="81"/>
    </row>
    <row r="549">
      <c r="A549" s="77"/>
      <c r="B549" s="78"/>
      <c r="C549" s="78"/>
      <c r="D549" s="78"/>
      <c r="E549" s="78"/>
      <c r="F549" s="81"/>
      <c r="G549" s="82"/>
      <c r="H549" s="78"/>
      <c r="I549" s="81"/>
      <c r="J549" s="81"/>
      <c r="K549" s="81"/>
      <c r="L549" s="81"/>
    </row>
    <row r="550">
      <c r="A550" s="77"/>
      <c r="B550" s="78"/>
      <c r="C550" s="78"/>
      <c r="D550" s="78"/>
      <c r="E550" s="78"/>
      <c r="F550" s="81"/>
      <c r="G550" s="82"/>
      <c r="H550" s="78"/>
      <c r="I550" s="81"/>
      <c r="J550" s="81"/>
      <c r="K550" s="81"/>
      <c r="L550" s="81"/>
    </row>
    <row r="551">
      <c r="A551" s="77"/>
      <c r="B551" s="78"/>
      <c r="C551" s="78"/>
      <c r="D551" s="78"/>
      <c r="E551" s="78"/>
      <c r="F551" s="81"/>
      <c r="G551" s="82"/>
      <c r="H551" s="78"/>
      <c r="I551" s="81"/>
      <c r="J551" s="81"/>
      <c r="K551" s="81"/>
      <c r="L551" s="81"/>
    </row>
    <row r="552">
      <c r="A552" s="77"/>
      <c r="B552" s="78"/>
      <c r="C552" s="78"/>
      <c r="D552" s="78"/>
      <c r="E552" s="78"/>
      <c r="F552" s="81"/>
      <c r="G552" s="82"/>
      <c r="H552" s="78"/>
      <c r="I552" s="81"/>
      <c r="J552" s="81"/>
      <c r="K552" s="81"/>
      <c r="L552" s="81"/>
    </row>
    <row r="553">
      <c r="A553" s="77"/>
      <c r="B553" s="78"/>
      <c r="C553" s="78"/>
      <c r="D553" s="78"/>
      <c r="E553" s="78"/>
      <c r="F553" s="81"/>
      <c r="G553" s="82"/>
      <c r="H553" s="78"/>
      <c r="I553" s="81"/>
      <c r="J553" s="81"/>
      <c r="K553" s="81"/>
      <c r="L553" s="81"/>
    </row>
    <row r="554">
      <c r="A554" s="77"/>
      <c r="B554" s="78"/>
      <c r="C554" s="78"/>
      <c r="D554" s="78"/>
      <c r="E554" s="78"/>
      <c r="F554" s="81"/>
      <c r="G554" s="82"/>
      <c r="H554" s="78"/>
      <c r="I554" s="81"/>
      <c r="J554" s="81"/>
      <c r="K554" s="81"/>
      <c r="L554" s="81"/>
    </row>
    <row r="555">
      <c r="A555" s="77"/>
      <c r="B555" s="78"/>
      <c r="C555" s="78"/>
      <c r="D555" s="78"/>
      <c r="E555" s="78"/>
      <c r="F555" s="81"/>
      <c r="G555" s="82"/>
      <c r="H555" s="78"/>
      <c r="I555" s="81"/>
      <c r="J555" s="81"/>
      <c r="K555" s="81"/>
      <c r="L555" s="81"/>
    </row>
    <row r="556">
      <c r="A556" s="77"/>
      <c r="B556" s="78"/>
      <c r="C556" s="78"/>
      <c r="D556" s="78"/>
      <c r="E556" s="78"/>
      <c r="F556" s="81"/>
      <c r="G556" s="82"/>
      <c r="H556" s="78"/>
      <c r="I556" s="81"/>
      <c r="J556" s="81"/>
      <c r="K556" s="81"/>
      <c r="L556" s="81"/>
    </row>
    <row r="557">
      <c r="A557" s="77"/>
      <c r="B557" s="78"/>
      <c r="C557" s="78"/>
      <c r="D557" s="78"/>
      <c r="E557" s="78"/>
      <c r="F557" s="81"/>
      <c r="G557" s="82"/>
      <c r="H557" s="78"/>
      <c r="I557" s="81"/>
      <c r="J557" s="81"/>
      <c r="K557" s="81"/>
      <c r="L557" s="81"/>
    </row>
    <row r="558">
      <c r="A558" s="77"/>
      <c r="B558" s="78"/>
      <c r="C558" s="78"/>
      <c r="D558" s="78"/>
      <c r="E558" s="78"/>
      <c r="F558" s="81"/>
      <c r="G558" s="82"/>
      <c r="H558" s="78"/>
      <c r="I558" s="81"/>
      <c r="J558" s="81"/>
      <c r="K558" s="81"/>
      <c r="L558" s="81"/>
    </row>
    <row r="559">
      <c r="A559" s="77"/>
      <c r="B559" s="78"/>
      <c r="C559" s="78"/>
      <c r="D559" s="78"/>
      <c r="E559" s="78"/>
      <c r="F559" s="81"/>
      <c r="G559" s="82"/>
      <c r="H559" s="78"/>
      <c r="I559" s="81"/>
      <c r="J559" s="81"/>
      <c r="K559" s="81"/>
      <c r="L559" s="81"/>
    </row>
    <row r="560">
      <c r="A560" s="77"/>
      <c r="B560" s="78"/>
      <c r="C560" s="78"/>
      <c r="D560" s="78"/>
      <c r="E560" s="78"/>
      <c r="F560" s="81"/>
      <c r="G560" s="82"/>
      <c r="H560" s="78"/>
      <c r="I560" s="81"/>
      <c r="J560" s="81"/>
      <c r="K560" s="81"/>
      <c r="L560" s="81"/>
    </row>
    <row r="561">
      <c r="A561" s="77"/>
      <c r="B561" s="78"/>
      <c r="C561" s="78"/>
      <c r="D561" s="78"/>
      <c r="E561" s="78"/>
      <c r="F561" s="81"/>
      <c r="G561" s="82"/>
      <c r="H561" s="78"/>
      <c r="I561" s="81"/>
      <c r="J561" s="81"/>
      <c r="K561" s="81"/>
      <c r="L561" s="81"/>
    </row>
    <row r="562">
      <c r="A562" s="77"/>
      <c r="B562" s="78"/>
      <c r="C562" s="78"/>
      <c r="D562" s="78"/>
      <c r="E562" s="78"/>
      <c r="F562" s="81"/>
      <c r="G562" s="82"/>
      <c r="H562" s="78"/>
      <c r="I562" s="81"/>
      <c r="J562" s="81"/>
      <c r="K562" s="81"/>
      <c r="L562" s="81"/>
    </row>
    <row r="563">
      <c r="A563" s="77"/>
      <c r="B563" s="78"/>
      <c r="C563" s="78"/>
      <c r="D563" s="78"/>
      <c r="E563" s="78"/>
      <c r="F563" s="81"/>
      <c r="G563" s="82"/>
      <c r="H563" s="78"/>
      <c r="I563" s="81"/>
      <c r="J563" s="81"/>
      <c r="K563" s="81"/>
      <c r="L563" s="81"/>
    </row>
    <row r="564">
      <c r="A564" s="77"/>
      <c r="B564" s="78"/>
      <c r="C564" s="78"/>
      <c r="D564" s="78"/>
      <c r="E564" s="78"/>
      <c r="F564" s="81"/>
      <c r="G564" s="82"/>
      <c r="H564" s="78"/>
      <c r="I564" s="81"/>
      <c r="J564" s="81"/>
      <c r="K564" s="81"/>
      <c r="L564" s="81"/>
    </row>
    <row r="565">
      <c r="A565" s="77"/>
      <c r="B565" s="78"/>
      <c r="C565" s="78"/>
      <c r="D565" s="78"/>
      <c r="E565" s="78"/>
      <c r="F565" s="81"/>
      <c r="G565" s="82"/>
      <c r="H565" s="78"/>
      <c r="I565" s="81"/>
      <c r="J565" s="81"/>
      <c r="K565" s="81"/>
      <c r="L565" s="81"/>
    </row>
    <row r="566">
      <c r="A566" s="77"/>
      <c r="B566" s="78"/>
      <c r="C566" s="78"/>
      <c r="D566" s="78"/>
      <c r="E566" s="78"/>
      <c r="F566" s="81"/>
      <c r="G566" s="82"/>
      <c r="H566" s="78"/>
      <c r="I566" s="81"/>
      <c r="J566" s="81"/>
      <c r="K566" s="81"/>
      <c r="L566" s="81"/>
    </row>
    <row r="567">
      <c r="A567" s="77"/>
      <c r="B567" s="78"/>
      <c r="C567" s="78"/>
      <c r="D567" s="78"/>
      <c r="E567" s="78"/>
      <c r="F567" s="81"/>
      <c r="G567" s="82"/>
      <c r="H567" s="78"/>
      <c r="I567" s="81"/>
      <c r="J567" s="81"/>
      <c r="K567" s="81"/>
      <c r="L567" s="81"/>
    </row>
    <row r="568">
      <c r="A568" s="77"/>
      <c r="B568" s="78"/>
      <c r="C568" s="78"/>
      <c r="D568" s="78"/>
      <c r="E568" s="78"/>
      <c r="F568" s="81"/>
      <c r="G568" s="82"/>
      <c r="H568" s="78"/>
      <c r="I568" s="81"/>
      <c r="J568" s="81"/>
      <c r="K568" s="81"/>
      <c r="L568" s="81"/>
    </row>
    <row r="569">
      <c r="A569" s="77"/>
      <c r="B569" s="78"/>
      <c r="C569" s="78"/>
      <c r="D569" s="78"/>
      <c r="E569" s="78"/>
      <c r="F569" s="81"/>
      <c r="G569" s="82"/>
      <c r="H569" s="78"/>
      <c r="I569" s="81"/>
      <c r="J569" s="81"/>
      <c r="K569" s="81"/>
      <c r="L569" s="81"/>
    </row>
    <row r="570">
      <c r="A570" s="77"/>
      <c r="B570" s="78"/>
      <c r="C570" s="78"/>
      <c r="D570" s="78"/>
      <c r="E570" s="78"/>
      <c r="F570" s="81"/>
      <c r="G570" s="82"/>
      <c r="H570" s="78"/>
      <c r="I570" s="81"/>
      <c r="J570" s="81"/>
      <c r="K570" s="81"/>
      <c r="L570" s="81"/>
    </row>
    <row r="571">
      <c r="A571" s="77"/>
      <c r="B571" s="78"/>
      <c r="C571" s="78"/>
      <c r="D571" s="78"/>
      <c r="E571" s="78"/>
      <c r="F571" s="81"/>
      <c r="G571" s="82"/>
      <c r="H571" s="78"/>
      <c r="I571" s="81"/>
      <c r="J571" s="81"/>
      <c r="K571" s="81"/>
      <c r="L571" s="81"/>
    </row>
    <row r="572">
      <c r="A572" s="77"/>
      <c r="B572" s="78"/>
      <c r="C572" s="78"/>
      <c r="D572" s="78"/>
      <c r="E572" s="78"/>
      <c r="F572" s="81"/>
      <c r="G572" s="82"/>
      <c r="H572" s="78"/>
      <c r="I572" s="81"/>
      <c r="J572" s="81"/>
      <c r="K572" s="81"/>
      <c r="L572" s="81"/>
    </row>
    <row r="573">
      <c r="A573" s="77"/>
      <c r="B573" s="78"/>
      <c r="C573" s="78"/>
      <c r="D573" s="78"/>
      <c r="E573" s="78"/>
      <c r="F573" s="81"/>
      <c r="G573" s="82"/>
      <c r="H573" s="78"/>
      <c r="I573" s="81"/>
      <c r="J573" s="81"/>
      <c r="K573" s="81"/>
      <c r="L573" s="81"/>
    </row>
    <row r="574">
      <c r="A574" s="77"/>
      <c r="B574" s="78"/>
      <c r="C574" s="78"/>
      <c r="D574" s="78"/>
      <c r="E574" s="78"/>
      <c r="F574" s="81"/>
      <c r="G574" s="82"/>
      <c r="H574" s="78"/>
      <c r="I574" s="81"/>
      <c r="J574" s="81"/>
      <c r="K574" s="81"/>
      <c r="L574" s="81"/>
    </row>
    <row r="575">
      <c r="A575" s="77"/>
      <c r="B575" s="78"/>
      <c r="C575" s="78"/>
      <c r="D575" s="78"/>
      <c r="E575" s="78"/>
      <c r="F575" s="81"/>
      <c r="G575" s="82"/>
      <c r="H575" s="78"/>
      <c r="I575" s="81"/>
      <c r="J575" s="81"/>
      <c r="K575" s="81"/>
      <c r="L575" s="81"/>
    </row>
    <row r="576">
      <c r="A576" s="77"/>
      <c r="B576" s="78"/>
      <c r="C576" s="78"/>
      <c r="D576" s="78"/>
      <c r="E576" s="78"/>
      <c r="F576" s="81"/>
      <c r="G576" s="82"/>
      <c r="H576" s="78"/>
      <c r="I576" s="81"/>
      <c r="J576" s="81"/>
      <c r="K576" s="81"/>
      <c r="L576" s="81"/>
    </row>
    <row r="577">
      <c r="A577" s="77"/>
      <c r="B577" s="78"/>
      <c r="C577" s="78"/>
      <c r="D577" s="78"/>
      <c r="E577" s="78"/>
      <c r="F577" s="81"/>
      <c r="G577" s="82"/>
      <c r="H577" s="78"/>
      <c r="I577" s="81"/>
      <c r="J577" s="81"/>
      <c r="K577" s="81"/>
      <c r="L577" s="81"/>
    </row>
    <row r="578">
      <c r="A578" s="77"/>
      <c r="B578" s="78"/>
      <c r="C578" s="78"/>
      <c r="D578" s="78"/>
      <c r="E578" s="78"/>
      <c r="F578" s="81"/>
      <c r="G578" s="82"/>
      <c r="H578" s="78"/>
      <c r="I578" s="81"/>
      <c r="J578" s="81"/>
      <c r="K578" s="81"/>
      <c r="L578" s="81"/>
    </row>
    <row r="579">
      <c r="A579" s="77"/>
      <c r="B579" s="78"/>
      <c r="C579" s="78"/>
      <c r="D579" s="78"/>
      <c r="E579" s="78"/>
      <c r="F579" s="81"/>
      <c r="G579" s="82"/>
      <c r="H579" s="78"/>
      <c r="I579" s="81"/>
      <c r="J579" s="81"/>
      <c r="K579" s="81"/>
      <c r="L579" s="81"/>
    </row>
    <row r="580">
      <c r="A580" s="77"/>
      <c r="B580" s="78"/>
      <c r="C580" s="78"/>
      <c r="D580" s="78"/>
      <c r="E580" s="78"/>
      <c r="F580" s="81"/>
      <c r="G580" s="82"/>
      <c r="H580" s="78"/>
      <c r="I580" s="81"/>
      <c r="J580" s="81"/>
      <c r="K580" s="81"/>
      <c r="L580" s="81"/>
    </row>
    <row r="581">
      <c r="A581" s="77"/>
      <c r="B581" s="78"/>
      <c r="C581" s="78"/>
      <c r="D581" s="78"/>
      <c r="E581" s="78"/>
      <c r="F581" s="81"/>
      <c r="G581" s="82"/>
      <c r="H581" s="78"/>
      <c r="I581" s="81"/>
      <c r="J581" s="81"/>
      <c r="K581" s="81"/>
      <c r="L581" s="81"/>
    </row>
    <row r="582">
      <c r="A582" s="77"/>
      <c r="B582" s="78"/>
      <c r="C582" s="78"/>
      <c r="D582" s="78"/>
      <c r="E582" s="78"/>
      <c r="F582" s="81"/>
      <c r="G582" s="82"/>
      <c r="H582" s="78"/>
      <c r="I582" s="81"/>
      <c r="J582" s="81"/>
      <c r="K582" s="81"/>
      <c r="L582" s="81"/>
    </row>
    <row r="583">
      <c r="A583" s="77"/>
      <c r="B583" s="78"/>
      <c r="C583" s="78"/>
      <c r="D583" s="78"/>
      <c r="E583" s="78"/>
      <c r="F583" s="81"/>
      <c r="G583" s="82"/>
      <c r="H583" s="78"/>
      <c r="I583" s="81"/>
      <c r="J583" s="81"/>
      <c r="K583" s="81"/>
      <c r="L583" s="81"/>
    </row>
    <row r="584">
      <c r="A584" s="77"/>
      <c r="B584" s="78"/>
      <c r="C584" s="78"/>
      <c r="D584" s="78"/>
      <c r="E584" s="78"/>
      <c r="F584" s="81"/>
      <c r="G584" s="82"/>
      <c r="H584" s="78"/>
      <c r="I584" s="81"/>
      <c r="J584" s="81"/>
      <c r="K584" s="81"/>
      <c r="L584" s="81"/>
    </row>
    <row r="585">
      <c r="A585" s="77"/>
      <c r="B585" s="78"/>
      <c r="C585" s="78"/>
      <c r="D585" s="78"/>
      <c r="E585" s="78"/>
      <c r="F585" s="81"/>
      <c r="G585" s="82"/>
      <c r="H585" s="78"/>
      <c r="I585" s="81"/>
      <c r="J585" s="81"/>
      <c r="K585" s="81"/>
      <c r="L585" s="81"/>
    </row>
    <row r="586">
      <c r="A586" s="77"/>
      <c r="B586" s="78"/>
      <c r="C586" s="78"/>
      <c r="D586" s="78"/>
      <c r="E586" s="78"/>
      <c r="F586" s="81"/>
      <c r="G586" s="82"/>
      <c r="H586" s="78"/>
      <c r="I586" s="81"/>
      <c r="J586" s="81"/>
      <c r="K586" s="81"/>
      <c r="L586" s="81"/>
    </row>
    <row r="587">
      <c r="A587" s="77"/>
      <c r="B587" s="78"/>
      <c r="C587" s="78"/>
      <c r="D587" s="78"/>
      <c r="E587" s="78"/>
      <c r="F587" s="81"/>
      <c r="G587" s="82"/>
      <c r="H587" s="78"/>
      <c r="I587" s="81"/>
      <c r="J587" s="81"/>
      <c r="K587" s="81"/>
      <c r="L587" s="81"/>
    </row>
    <row r="588">
      <c r="A588" s="77"/>
      <c r="B588" s="78"/>
      <c r="C588" s="78"/>
      <c r="D588" s="78"/>
      <c r="E588" s="78"/>
      <c r="F588" s="81"/>
      <c r="G588" s="82"/>
      <c r="H588" s="78"/>
      <c r="I588" s="81"/>
      <c r="J588" s="81"/>
      <c r="K588" s="81"/>
      <c r="L588" s="81"/>
    </row>
    <row r="589">
      <c r="A589" s="77"/>
      <c r="B589" s="78"/>
      <c r="C589" s="78"/>
      <c r="D589" s="78"/>
      <c r="E589" s="78"/>
      <c r="F589" s="81"/>
      <c r="G589" s="82"/>
      <c r="H589" s="78"/>
      <c r="I589" s="81"/>
      <c r="J589" s="81"/>
      <c r="K589" s="81"/>
      <c r="L589" s="81"/>
    </row>
    <row r="590">
      <c r="A590" s="77"/>
      <c r="B590" s="78"/>
      <c r="C590" s="78"/>
      <c r="D590" s="78"/>
      <c r="E590" s="78"/>
      <c r="F590" s="81"/>
      <c r="G590" s="82"/>
      <c r="H590" s="78"/>
      <c r="I590" s="81"/>
      <c r="J590" s="81"/>
      <c r="K590" s="81"/>
      <c r="L590" s="81"/>
    </row>
    <row r="591">
      <c r="A591" s="77"/>
      <c r="B591" s="78"/>
      <c r="C591" s="78"/>
      <c r="D591" s="78"/>
      <c r="E591" s="78"/>
      <c r="F591" s="81"/>
      <c r="G591" s="82"/>
      <c r="H591" s="78"/>
      <c r="I591" s="81"/>
      <c r="J591" s="81"/>
      <c r="K591" s="81"/>
      <c r="L591" s="81"/>
    </row>
    <row r="592">
      <c r="A592" s="77"/>
      <c r="B592" s="78"/>
      <c r="C592" s="78"/>
      <c r="D592" s="78"/>
      <c r="E592" s="78"/>
      <c r="F592" s="81"/>
      <c r="G592" s="82"/>
      <c r="H592" s="78"/>
      <c r="I592" s="81"/>
      <c r="J592" s="81"/>
      <c r="K592" s="81"/>
      <c r="L592" s="81"/>
    </row>
    <row r="593">
      <c r="A593" s="77"/>
      <c r="B593" s="78"/>
      <c r="C593" s="78"/>
      <c r="D593" s="78"/>
      <c r="E593" s="78"/>
      <c r="F593" s="81"/>
      <c r="G593" s="82"/>
      <c r="H593" s="78"/>
      <c r="I593" s="81"/>
      <c r="J593" s="81"/>
      <c r="K593" s="81"/>
      <c r="L593" s="81"/>
    </row>
    <row r="594">
      <c r="A594" s="77"/>
      <c r="B594" s="78"/>
      <c r="C594" s="78"/>
      <c r="D594" s="78"/>
      <c r="E594" s="78"/>
      <c r="F594" s="81"/>
      <c r="G594" s="82"/>
      <c r="H594" s="78"/>
      <c r="I594" s="81"/>
      <c r="J594" s="81"/>
      <c r="K594" s="81"/>
      <c r="L594" s="81"/>
    </row>
    <row r="595">
      <c r="A595" s="77"/>
      <c r="B595" s="78"/>
      <c r="C595" s="78"/>
      <c r="D595" s="78"/>
      <c r="E595" s="78"/>
      <c r="F595" s="81"/>
      <c r="G595" s="82"/>
      <c r="H595" s="78"/>
      <c r="I595" s="81"/>
      <c r="J595" s="81"/>
      <c r="K595" s="81"/>
      <c r="L595" s="81"/>
    </row>
    <row r="596">
      <c r="A596" s="77"/>
      <c r="B596" s="78"/>
      <c r="C596" s="78"/>
      <c r="D596" s="78"/>
      <c r="E596" s="78"/>
      <c r="F596" s="81"/>
      <c r="G596" s="82"/>
      <c r="H596" s="78"/>
      <c r="I596" s="81"/>
      <c r="J596" s="81"/>
      <c r="K596" s="81"/>
      <c r="L596" s="81"/>
    </row>
    <row r="597">
      <c r="A597" s="77"/>
      <c r="B597" s="78"/>
      <c r="C597" s="78"/>
      <c r="D597" s="78"/>
      <c r="E597" s="78"/>
      <c r="F597" s="81"/>
      <c r="G597" s="82"/>
      <c r="H597" s="78"/>
      <c r="I597" s="81"/>
      <c r="J597" s="81"/>
      <c r="K597" s="81"/>
      <c r="L597" s="81"/>
    </row>
    <row r="598">
      <c r="A598" s="77"/>
      <c r="B598" s="78"/>
      <c r="C598" s="78"/>
      <c r="D598" s="78"/>
      <c r="E598" s="78"/>
      <c r="F598" s="81"/>
      <c r="G598" s="82"/>
      <c r="H598" s="78"/>
      <c r="I598" s="81"/>
      <c r="J598" s="81"/>
      <c r="K598" s="81"/>
      <c r="L598" s="81"/>
    </row>
    <row r="599">
      <c r="A599" s="77"/>
      <c r="B599" s="78"/>
      <c r="C599" s="78"/>
      <c r="D599" s="78"/>
      <c r="E599" s="78"/>
      <c r="F599" s="81"/>
      <c r="G599" s="82"/>
      <c r="H599" s="78"/>
      <c r="I599" s="81"/>
      <c r="J599" s="81"/>
      <c r="K599" s="81"/>
      <c r="L599" s="81"/>
    </row>
    <row r="600">
      <c r="A600" s="77"/>
      <c r="B600" s="78"/>
      <c r="C600" s="78"/>
      <c r="D600" s="78"/>
      <c r="E600" s="78"/>
      <c r="F600" s="81"/>
      <c r="G600" s="82"/>
      <c r="H600" s="78"/>
      <c r="I600" s="81"/>
      <c r="J600" s="81"/>
      <c r="K600" s="81"/>
      <c r="L600" s="81"/>
    </row>
    <row r="601">
      <c r="A601" s="77"/>
      <c r="B601" s="78"/>
      <c r="C601" s="78"/>
      <c r="D601" s="78"/>
      <c r="E601" s="78"/>
      <c r="F601" s="81"/>
      <c r="G601" s="82"/>
      <c r="H601" s="78"/>
      <c r="I601" s="81"/>
      <c r="J601" s="81"/>
      <c r="K601" s="81"/>
      <c r="L601" s="81"/>
    </row>
    <row r="602">
      <c r="A602" s="77"/>
      <c r="B602" s="78"/>
      <c r="C602" s="78"/>
      <c r="D602" s="78"/>
      <c r="E602" s="78"/>
      <c r="F602" s="81"/>
      <c r="G602" s="82"/>
      <c r="H602" s="78"/>
      <c r="I602" s="81"/>
      <c r="J602" s="81"/>
      <c r="K602" s="81"/>
      <c r="L602" s="81"/>
    </row>
    <row r="603">
      <c r="A603" s="77"/>
      <c r="B603" s="78"/>
      <c r="C603" s="78"/>
      <c r="D603" s="78"/>
      <c r="E603" s="78"/>
      <c r="F603" s="81"/>
      <c r="G603" s="82"/>
      <c r="H603" s="78"/>
      <c r="I603" s="81"/>
      <c r="J603" s="81"/>
      <c r="K603" s="81"/>
      <c r="L603" s="81"/>
    </row>
    <row r="604">
      <c r="A604" s="87"/>
      <c r="B604" s="78"/>
      <c r="C604" s="78"/>
      <c r="D604" s="78"/>
      <c r="E604" s="78"/>
      <c r="F604" s="81"/>
      <c r="G604" s="82"/>
      <c r="H604" s="78"/>
      <c r="I604" s="81"/>
      <c r="J604" s="81"/>
      <c r="K604" s="81"/>
      <c r="L604" s="81"/>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12" t="s">
        <v>1</v>
      </c>
      <c r="B1" s="112" t="s">
        <v>3904</v>
      </c>
      <c r="C1" s="112" t="s">
        <v>3905</v>
      </c>
      <c r="D1" s="112" t="s">
        <v>4189</v>
      </c>
      <c r="E1" s="112" t="s">
        <v>3907</v>
      </c>
      <c r="F1" s="112" t="s">
        <v>4903</v>
      </c>
      <c r="G1" s="112" t="s">
        <v>3909</v>
      </c>
      <c r="H1" s="112" t="s">
        <v>3910</v>
      </c>
      <c r="I1" s="112" t="s">
        <v>3911</v>
      </c>
      <c r="J1" s="112" t="s">
        <v>4191</v>
      </c>
      <c r="K1" s="112" t="s">
        <v>4904</v>
      </c>
      <c r="L1" s="112" t="s">
        <v>3912</v>
      </c>
      <c r="M1" s="112" t="s">
        <v>3913</v>
      </c>
      <c r="N1" s="112" t="s">
        <v>4905</v>
      </c>
      <c r="O1" s="112"/>
      <c r="P1" s="112"/>
      <c r="Q1" s="112"/>
      <c r="R1" s="112"/>
      <c r="S1" s="112"/>
      <c r="T1" s="112"/>
      <c r="U1" s="112"/>
      <c r="V1" s="112"/>
      <c r="W1" s="112"/>
      <c r="X1" s="112"/>
      <c r="Y1" s="112"/>
      <c r="Z1" s="112"/>
    </row>
    <row r="2">
      <c r="A2" s="52">
        <v>1.0</v>
      </c>
      <c r="B2" s="52" t="s">
        <v>4906</v>
      </c>
      <c r="C2" s="52">
        <v>2.0251900027613E13</v>
      </c>
      <c r="D2" s="52" t="s">
        <v>4907</v>
      </c>
      <c r="E2" s="52" t="s">
        <v>2791</v>
      </c>
      <c r="F2" s="69">
        <v>45779.0</v>
      </c>
      <c r="G2" s="52" t="s">
        <v>3917</v>
      </c>
      <c r="H2" s="52">
        <v>1.096217701E9</v>
      </c>
      <c r="I2" s="52" t="s">
        <v>4122</v>
      </c>
      <c r="J2" s="52" t="s">
        <v>433</v>
      </c>
      <c r="K2" s="52" t="s">
        <v>4908</v>
      </c>
      <c r="L2" s="52">
        <v>1.33734225E8</v>
      </c>
      <c r="M2" s="113">
        <v>45782.0</v>
      </c>
      <c r="N2" s="52" t="s">
        <v>4909</v>
      </c>
    </row>
    <row r="3">
      <c r="A3" s="52">
        <v>2.0</v>
      </c>
      <c r="B3" s="52" t="s">
        <v>4906</v>
      </c>
      <c r="C3" s="52">
        <v>2.0251900027623E13</v>
      </c>
      <c r="D3" s="52" t="s">
        <v>4910</v>
      </c>
      <c r="E3" s="52" t="s">
        <v>429</v>
      </c>
      <c r="F3" s="69">
        <v>45779.0</v>
      </c>
      <c r="G3" s="52" t="s">
        <v>3917</v>
      </c>
      <c r="H3" s="52">
        <v>1.065837239E9</v>
      </c>
      <c r="I3" s="52" t="s">
        <v>3924</v>
      </c>
      <c r="J3" s="52" t="s">
        <v>433</v>
      </c>
      <c r="K3" s="52" t="s">
        <v>4908</v>
      </c>
      <c r="L3" s="52">
        <v>1.33689125E8</v>
      </c>
      <c r="M3" s="113">
        <v>45782.0</v>
      </c>
      <c r="N3" s="52" t="s">
        <v>4911</v>
      </c>
    </row>
    <row r="4">
      <c r="A4" s="52">
        <v>3.0</v>
      </c>
      <c r="B4" s="52" t="s">
        <v>4906</v>
      </c>
      <c r="C4" s="52">
        <v>2.0251110027673E13</v>
      </c>
      <c r="D4" s="52" t="s">
        <v>4912</v>
      </c>
      <c r="E4" s="52" t="s">
        <v>4622</v>
      </c>
      <c r="F4" s="69">
        <v>45779.0</v>
      </c>
      <c r="G4" s="52" t="s">
        <v>4127</v>
      </c>
      <c r="H4" s="52">
        <v>9.0011939E8</v>
      </c>
      <c r="I4" s="52" t="s">
        <v>4623</v>
      </c>
      <c r="J4" s="52" t="s">
        <v>4913</v>
      </c>
      <c r="K4" s="52" t="s">
        <v>4914</v>
      </c>
      <c r="L4" s="52">
        <v>1.33691825E8</v>
      </c>
      <c r="M4" s="113">
        <v>45782.0</v>
      </c>
      <c r="N4" s="52" t="s">
        <v>4915</v>
      </c>
    </row>
    <row r="5">
      <c r="A5" s="52">
        <v>4.0</v>
      </c>
      <c r="B5" s="52" t="s">
        <v>4906</v>
      </c>
      <c r="C5" s="52">
        <v>2.0251110027723E13</v>
      </c>
      <c r="D5" s="52" t="s">
        <v>4916</v>
      </c>
      <c r="E5" s="52" t="s">
        <v>4571</v>
      </c>
      <c r="F5" s="69">
        <v>45779.0</v>
      </c>
      <c r="G5" s="52" t="s">
        <v>4127</v>
      </c>
      <c r="H5" s="52">
        <v>8.60067479E8</v>
      </c>
      <c r="I5" s="52" t="s">
        <v>4572</v>
      </c>
      <c r="J5" s="52" t="s">
        <v>524</v>
      </c>
      <c r="K5" s="52" t="s">
        <v>4914</v>
      </c>
      <c r="L5" s="52">
        <v>1.33707925E8</v>
      </c>
      <c r="M5" s="113">
        <v>45782.0</v>
      </c>
      <c r="N5" s="52" t="s">
        <v>4917</v>
      </c>
    </row>
    <row r="6">
      <c r="A6" s="52">
        <v>5.0</v>
      </c>
      <c r="B6" s="52" t="s">
        <v>4906</v>
      </c>
      <c r="C6" s="52">
        <v>2.0251900027813E13</v>
      </c>
      <c r="D6" s="52" t="s">
        <v>4918</v>
      </c>
      <c r="E6" s="52" t="s">
        <v>218</v>
      </c>
      <c r="F6" s="69">
        <v>45779.0</v>
      </c>
      <c r="G6" s="52" t="s">
        <v>3917</v>
      </c>
      <c r="H6" s="52">
        <v>1.130601351E9</v>
      </c>
      <c r="I6" s="52" t="s">
        <v>3920</v>
      </c>
      <c r="J6" s="52" t="s">
        <v>4919</v>
      </c>
      <c r="K6" s="52" t="s">
        <v>4908</v>
      </c>
      <c r="L6" s="52">
        <v>1.36168025E8</v>
      </c>
      <c r="M6" s="113">
        <v>45783.0</v>
      </c>
      <c r="N6" s="52" t="s">
        <v>4920</v>
      </c>
    </row>
    <row r="7">
      <c r="A7" s="52">
        <v>6.0</v>
      </c>
      <c r="B7" s="52" t="s">
        <v>4906</v>
      </c>
      <c r="C7" s="52">
        <v>2.0251010027843E13</v>
      </c>
      <c r="D7" s="52" t="s">
        <v>4921</v>
      </c>
      <c r="E7" s="52" t="s">
        <v>123</v>
      </c>
      <c r="F7" s="69">
        <v>45779.0</v>
      </c>
      <c r="G7" s="52" t="s">
        <v>3917</v>
      </c>
      <c r="H7" s="52">
        <v>1.013653433E9</v>
      </c>
      <c r="I7" s="52" t="s">
        <v>3957</v>
      </c>
      <c r="J7" s="52" t="s">
        <v>922</v>
      </c>
      <c r="K7" s="52" t="s">
        <v>4922</v>
      </c>
      <c r="L7" s="52">
        <v>1.42415625E8</v>
      </c>
      <c r="M7" s="113">
        <v>45785.0</v>
      </c>
      <c r="N7" s="52" t="s">
        <v>4923</v>
      </c>
    </row>
    <row r="8">
      <c r="A8" s="52">
        <v>7.0</v>
      </c>
      <c r="B8" s="52" t="s">
        <v>4906</v>
      </c>
      <c r="C8" s="52">
        <v>2.0251010027823E13</v>
      </c>
      <c r="D8" s="52" t="s">
        <v>4924</v>
      </c>
      <c r="E8" s="52" t="s">
        <v>822</v>
      </c>
      <c r="F8" s="69">
        <v>45779.0</v>
      </c>
      <c r="G8" s="52" t="s">
        <v>3917</v>
      </c>
      <c r="H8" s="52">
        <v>1.193406964E9</v>
      </c>
      <c r="I8" s="52" t="s">
        <v>4238</v>
      </c>
      <c r="J8" s="52" t="s">
        <v>922</v>
      </c>
      <c r="K8" s="52" t="s">
        <v>4922</v>
      </c>
      <c r="L8" s="52">
        <v>1.32191725E8</v>
      </c>
      <c r="M8" s="113">
        <v>45779.0</v>
      </c>
      <c r="N8" s="52" t="s">
        <v>4925</v>
      </c>
    </row>
    <row r="9">
      <c r="A9" s="52">
        <v>8.0</v>
      </c>
      <c r="B9" s="52" t="s">
        <v>4906</v>
      </c>
      <c r="C9" s="52">
        <v>2.0251530027903E13</v>
      </c>
      <c r="D9" s="52" t="s">
        <v>4926</v>
      </c>
      <c r="E9" s="52" t="s">
        <v>347</v>
      </c>
      <c r="F9" s="69">
        <v>45779.0</v>
      </c>
      <c r="G9" s="52" t="s">
        <v>3917</v>
      </c>
      <c r="H9" s="114">
        <v>1.09872233E9</v>
      </c>
      <c r="I9" s="52" t="s">
        <v>3922</v>
      </c>
      <c r="J9" s="52" t="s">
        <v>352</v>
      </c>
      <c r="K9" s="52" t="s">
        <v>4927</v>
      </c>
      <c r="L9" s="52">
        <v>1.32197625E8</v>
      </c>
      <c r="M9" s="113">
        <v>45779.0</v>
      </c>
      <c r="N9" s="52" t="s">
        <v>4928</v>
      </c>
    </row>
    <row r="10">
      <c r="A10" s="52">
        <v>9.0</v>
      </c>
      <c r="B10" s="52" t="s">
        <v>4906</v>
      </c>
      <c r="C10" s="52">
        <v>2.0251530027913E13</v>
      </c>
      <c r="D10" s="52" t="s">
        <v>4929</v>
      </c>
      <c r="E10" s="52" t="s">
        <v>799</v>
      </c>
      <c r="F10" s="69">
        <v>45779.0</v>
      </c>
      <c r="G10" s="52" t="s">
        <v>3917</v>
      </c>
      <c r="H10" s="52">
        <v>1.026271385E9</v>
      </c>
      <c r="I10" s="52" t="s">
        <v>4202</v>
      </c>
      <c r="J10" s="52" t="s">
        <v>4203</v>
      </c>
      <c r="K10" s="52" t="s">
        <v>4927</v>
      </c>
      <c r="L10" s="52">
        <v>1.43667625E8</v>
      </c>
      <c r="M10" s="113">
        <v>45786.0</v>
      </c>
      <c r="N10" s="52" t="s">
        <v>4928</v>
      </c>
    </row>
    <row r="11">
      <c r="A11" s="52">
        <v>10.0</v>
      </c>
      <c r="B11" s="52" t="s">
        <v>4906</v>
      </c>
      <c r="C11" s="52">
        <v>2.0251700027933E13</v>
      </c>
      <c r="D11" s="52" t="s">
        <v>4930</v>
      </c>
      <c r="E11" s="52" t="s">
        <v>4931</v>
      </c>
      <c r="F11" s="69">
        <v>45779.0</v>
      </c>
      <c r="G11" s="52" t="s">
        <v>3917</v>
      </c>
      <c r="H11" s="52">
        <v>1.057584892E9</v>
      </c>
      <c r="I11" s="52" t="s">
        <v>4466</v>
      </c>
      <c r="J11" s="52" t="s">
        <v>4378</v>
      </c>
      <c r="K11" s="52" t="s">
        <v>4932</v>
      </c>
      <c r="L11" s="52" t="s">
        <v>4933</v>
      </c>
      <c r="M11" s="113">
        <v>45782.0</v>
      </c>
      <c r="N11" s="52" t="s">
        <v>4934</v>
      </c>
    </row>
    <row r="12">
      <c r="A12" s="52">
        <v>11.0</v>
      </c>
      <c r="B12" s="52" t="s">
        <v>4906</v>
      </c>
      <c r="C12" s="52">
        <v>2.0251120027953E13</v>
      </c>
      <c r="D12" s="52" t="s">
        <v>4935</v>
      </c>
      <c r="E12" s="52" t="s">
        <v>745</v>
      </c>
      <c r="F12" s="69">
        <v>45779.0</v>
      </c>
      <c r="G12" s="52" t="s">
        <v>3917</v>
      </c>
      <c r="H12" s="52">
        <v>1.003586805E9</v>
      </c>
      <c r="I12" s="52" t="s">
        <v>4197</v>
      </c>
      <c r="J12" s="52" t="s">
        <v>847</v>
      </c>
      <c r="K12" s="52" t="s">
        <v>4914</v>
      </c>
      <c r="L12" s="52">
        <v>1.42417725E8</v>
      </c>
      <c r="M12" s="113">
        <v>45785.0</v>
      </c>
      <c r="N12" s="52" t="s">
        <v>4936</v>
      </c>
    </row>
    <row r="13">
      <c r="A13" s="52">
        <v>12.0</v>
      </c>
      <c r="B13" s="52" t="s">
        <v>4906</v>
      </c>
      <c r="C13" s="52">
        <v>2.0251610027853E13</v>
      </c>
      <c r="D13" s="52" t="s">
        <v>4937</v>
      </c>
      <c r="E13" s="52" t="s">
        <v>118</v>
      </c>
      <c r="F13" s="69">
        <v>45779.0</v>
      </c>
      <c r="G13" s="52" t="s">
        <v>3917</v>
      </c>
      <c r="H13" s="52">
        <v>1.014280937E9</v>
      </c>
      <c r="I13" s="52" t="s">
        <v>4009</v>
      </c>
      <c r="J13" s="52" t="s">
        <v>561</v>
      </c>
      <c r="K13" s="52" t="s">
        <v>4938</v>
      </c>
      <c r="L13" s="52">
        <v>1.42413825E8</v>
      </c>
      <c r="M13" s="113">
        <v>45785.0</v>
      </c>
      <c r="N13" s="52" t="s">
        <v>4936</v>
      </c>
    </row>
    <row r="14">
      <c r="A14" s="52">
        <v>13.0</v>
      </c>
      <c r="B14" s="52" t="s">
        <v>4906</v>
      </c>
      <c r="C14" s="52">
        <v>2.0251530027963E13</v>
      </c>
      <c r="D14" s="52" t="s">
        <v>4939</v>
      </c>
      <c r="E14" s="52" t="s">
        <v>4940</v>
      </c>
      <c r="F14" s="69">
        <v>45779.0</v>
      </c>
      <c r="G14" s="52" t="s">
        <v>3917</v>
      </c>
      <c r="H14" s="52">
        <v>1.049640327E9</v>
      </c>
      <c r="I14" s="52" t="s">
        <v>4235</v>
      </c>
      <c r="J14" s="52" t="s">
        <v>4655</v>
      </c>
      <c r="K14" s="52" t="s">
        <v>4927</v>
      </c>
      <c r="L14" s="52">
        <v>1.33718825E8</v>
      </c>
      <c r="M14" s="113">
        <v>45782.0</v>
      </c>
      <c r="N14" s="52" t="s">
        <v>4941</v>
      </c>
    </row>
    <row r="15">
      <c r="A15" s="52">
        <v>14.0</v>
      </c>
      <c r="B15" s="52" t="s">
        <v>4906</v>
      </c>
      <c r="C15" s="52">
        <v>2.0251500027973E13</v>
      </c>
      <c r="D15" s="52" t="s">
        <v>4942</v>
      </c>
      <c r="E15" s="52" t="s">
        <v>4414</v>
      </c>
      <c r="F15" s="69">
        <v>45779.0</v>
      </c>
      <c r="G15" s="52" t="s">
        <v>3917</v>
      </c>
      <c r="H15" s="52">
        <v>1.128424536E9</v>
      </c>
      <c r="I15" s="52" t="s">
        <v>4415</v>
      </c>
      <c r="J15" s="52" t="s">
        <v>717</v>
      </c>
      <c r="K15" s="52" t="s">
        <v>4927</v>
      </c>
      <c r="L15" s="52">
        <v>1.33737725E8</v>
      </c>
      <c r="M15" s="113">
        <v>45782.0</v>
      </c>
      <c r="N15" s="52" t="s">
        <v>4943</v>
      </c>
    </row>
    <row r="16">
      <c r="A16" s="52">
        <v>15.0</v>
      </c>
      <c r="B16" s="52" t="s">
        <v>4906</v>
      </c>
      <c r="C16" s="52">
        <v>2.0251300027983E13</v>
      </c>
      <c r="D16" s="52" t="s">
        <v>4944</v>
      </c>
      <c r="E16" s="52" t="s">
        <v>2872</v>
      </c>
      <c r="F16" s="69">
        <v>45779.0</v>
      </c>
      <c r="G16" s="52" t="s">
        <v>3917</v>
      </c>
      <c r="H16" s="52">
        <v>1.024554244E9</v>
      </c>
      <c r="I16" s="52" t="s">
        <v>4085</v>
      </c>
      <c r="J16" s="52" t="s">
        <v>438</v>
      </c>
      <c r="K16" s="52" t="s">
        <v>134</v>
      </c>
      <c r="L16" s="52">
        <v>1.33740825E8</v>
      </c>
      <c r="M16" s="113">
        <v>45782.0</v>
      </c>
      <c r="N16" s="52" t="s">
        <v>4945</v>
      </c>
    </row>
    <row r="17">
      <c r="A17" s="52">
        <v>16.0</v>
      </c>
      <c r="B17" s="52" t="s">
        <v>4906</v>
      </c>
      <c r="C17" s="52">
        <v>2.0251000027993E13</v>
      </c>
      <c r="D17" s="52" t="s">
        <v>4514</v>
      </c>
      <c r="E17" s="52" t="s">
        <v>4946</v>
      </c>
      <c r="F17" s="69">
        <v>45779.0</v>
      </c>
      <c r="G17" s="52" t="s">
        <v>3917</v>
      </c>
      <c r="H17" s="52">
        <v>5.2811892E7</v>
      </c>
      <c r="I17" s="52" t="s">
        <v>3959</v>
      </c>
      <c r="J17" s="52" t="s">
        <v>474</v>
      </c>
      <c r="K17" s="52" t="s">
        <v>4947</v>
      </c>
      <c r="L17" s="52">
        <v>1.52997425E8</v>
      </c>
      <c r="M17" s="113">
        <v>45793.0</v>
      </c>
      <c r="N17" s="52" t="s">
        <v>4948</v>
      </c>
    </row>
    <row r="18">
      <c r="A18" s="52">
        <v>17.0</v>
      </c>
      <c r="B18" s="52" t="s">
        <v>4906</v>
      </c>
      <c r="C18" s="52">
        <v>2.0251530028023E13</v>
      </c>
      <c r="D18" s="52" t="s">
        <v>4929</v>
      </c>
      <c r="E18" s="52" t="s">
        <v>849</v>
      </c>
      <c r="F18" s="69">
        <v>45779.0</v>
      </c>
      <c r="G18" s="52" t="s">
        <v>3917</v>
      </c>
      <c r="H18" s="52">
        <v>1.033736378E9</v>
      </c>
      <c r="I18" s="52" t="s">
        <v>4215</v>
      </c>
      <c r="J18" s="52" t="s">
        <v>966</v>
      </c>
      <c r="K18" s="52" t="s">
        <v>4927</v>
      </c>
      <c r="L18" s="52">
        <v>1.33744825E8</v>
      </c>
      <c r="M18" s="113">
        <v>45782.0</v>
      </c>
      <c r="N18" s="52" t="s">
        <v>4928</v>
      </c>
    </row>
    <row r="19">
      <c r="A19" s="52">
        <v>18.0</v>
      </c>
      <c r="B19" s="52" t="s">
        <v>4906</v>
      </c>
      <c r="C19" s="52">
        <v>2.0251900028063E13</v>
      </c>
      <c r="D19" s="52" t="s">
        <v>4949</v>
      </c>
      <c r="E19" s="52" t="s">
        <v>4950</v>
      </c>
      <c r="F19" s="69">
        <v>45779.0</v>
      </c>
      <c r="G19" s="52" t="s">
        <v>3917</v>
      </c>
      <c r="H19" s="52">
        <v>8.0111613E7</v>
      </c>
      <c r="I19" s="52" t="s">
        <v>4538</v>
      </c>
      <c r="J19" s="52" t="s">
        <v>4951</v>
      </c>
      <c r="K19" s="52" t="s">
        <v>4908</v>
      </c>
      <c r="L19" s="52">
        <v>1.39279825E8</v>
      </c>
      <c r="M19" s="113">
        <v>45784.0</v>
      </c>
      <c r="N19" s="52" t="s">
        <v>4952</v>
      </c>
    </row>
    <row r="20">
      <c r="A20" s="52">
        <v>19.0</v>
      </c>
      <c r="B20" s="52" t="s">
        <v>4906</v>
      </c>
      <c r="C20" s="52">
        <v>2.0251800028083E13</v>
      </c>
      <c r="D20" s="52" t="s">
        <v>4953</v>
      </c>
      <c r="E20" s="52" t="s">
        <v>2777</v>
      </c>
      <c r="F20" s="69">
        <v>45779.0</v>
      </c>
      <c r="G20" s="52" t="s">
        <v>3917</v>
      </c>
      <c r="H20" s="52">
        <v>1.073384272E9</v>
      </c>
      <c r="I20" s="52" t="s">
        <v>4054</v>
      </c>
      <c r="J20" s="52" t="s">
        <v>4312</v>
      </c>
      <c r="K20" s="52" t="s">
        <v>4954</v>
      </c>
      <c r="L20" s="52">
        <v>1.36222625E8</v>
      </c>
      <c r="M20" s="113">
        <v>45783.0</v>
      </c>
      <c r="N20" s="52" t="s">
        <v>4955</v>
      </c>
    </row>
    <row r="21">
      <c r="A21" s="52">
        <v>20.0</v>
      </c>
      <c r="B21" s="52" t="s">
        <v>4906</v>
      </c>
      <c r="C21" s="52">
        <v>2.0251110028093E13</v>
      </c>
      <c r="D21" s="52" t="s">
        <v>4956</v>
      </c>
      <c r="E21" s="52" t="s">
        <v>363</v>
      </c>
      <c r="F21" s="69">
        <v>45779.0</v>
      </c>
      <c r="G21" s="52" t="s">
        <v>3917</v>
      </c>
      <c r="H21" s="52">
        <v>5.1568567E7</v>
      </c>
      <c r="I21" s="52" t="s">
        <v>3977</v>
      </c>
      <c r="J21" s="52" t="s">
        <v>4734</v>
      </c>
      <c r="K21" s="52" t="s">
        <v>4914</v>
      </c>
      <c r="L21" s="52">
        <v>1.36321625E8</v>
      </c>
      <c r="M21" s="113">
        <v>45783.0</v>
      </c>
      <c r="N21" s="52" t="s">
        <v>4957</v>
      </c>
    </row>
    <row r="22">
      <c r="A22" s="52">
        <v>22.0</v>
      </c>
      <c r="B22" s="52" t="s">
        <v>4906</v>
      </c>
      <c r="C22" s="52">
        <v>2.0251010028123E13</v>
      </c>
      <c r="D22" s="52" t="s">
        <v>4958</v>
      </c>
      <c r="E22" s="52" t="s">
        <v>206</v>
      </c>
      <c r="F22" s="69">
        <v>45779.0</v>
      </c>
      <c r="G22" s="52" t="s">
        <v>3917</v>
      </c>
      <c r="H22" s="52">
        <v>1.030634246E9</v>
      </c>
      <c r="I22" s="52" t="s">
        <v>3926</v>
      </c>
      <c r="J22" s="52" t="s">
        <v>211</v>
      </c>
      <c r="K22" s="52" t="s">
        <v>4922</v>
      </c>
      <c r="L22" s="52">
        <v>1.36334225E8</v>
      </c>
      <c r="M22" s="113">
        <v>45783.0</v>
      </c>
      <c r="N22" s="52" t="s">
        <v>4959</v>
      </c>
    </row>
    <row r="23">
      <c r="A23" s="52">
        <v>23.0</v>
      </c>
      <c r="B23" s="52" t="s">
        <v>4906</v>
      </c>
      <c r="C23" s="52">
        <v>2.0251610027923E13</v>
      </c>
      <c r="D23" s="52" t="s">
        <v>4960</v>
      </c>
      <c r="E23" s="52" t="s">
        <v>780</v>
      </c>
      <c r="F23" s="69">
        <v>45779.0</v>
      </c>
      <c r="G23" s="52" t="s">
        <v>3944</v>
      </c>
      <c r="H23" s="52">
        <v>761786.0</v>
      </c>
      <c r="I23" s="52" t="s">
        <v>4321</v>
      </c>
      <c r="J23" s="52" t="s">
        <v>561</v>
      </c>
      <c r="K23" s="52" t="s">
        <v>4938</v>
      </c>
      <c r="L23" s="52">
        <v>1.42420525E8</v>
      </c>
      <c r="M23" s="113">
        <v>45785.0</v>
      </c>
      <c r="N23" s="52" t="s">
        <v>4936</v>
      </c>
    </row>
    <row r="24">
      <c r="A24" s="52">
        <v>24.0</v>
      </c>
      <c r="B24" s="52" t="s">
        <v>4906</v>
      </c>
      <c r="C24" s="52">
        <v>2.0251010028143E13</v>
      </c>
      <c r="D24" s="52" t="s">
        <v>4961</v>
      </c>
      <c r="E24" s="52" t="s">
        <v>818</v>
      </c>
      <c r="F24" s="69">
        <v>45779.0</v>
      </c>
      <c r="G24" s="52" t="s">
        <v>3917</v>
      </c>
      <c r="H24" s="52">
        <v>1.033769305E9</v>
      </c>
      <c r="I24" s="52" t="s">
        <v>4247</v>
      </c>
      <c r="J24" s="52" t="s">
        <v>211</v>
      </c>
      <c r="K24" s="52" t="s">
        <v>4922</v>
      </c>
      <c r="L24" s="52">
        <v>1.33694625E8</v>
      </c>
      <c r="M24" s="113">
        <v>45782.0</v>
      </c>
      <c r="N24" s="52" t="s">
        <v>4920</v>
      </c>
    </row>
    <row r="25">
      <c r="A25" s="52">
        <v>25.0</v>
      </c>
      <c r="B25" s="52" t="s">
        <v>4906</v>
      </c>
      <c r="C25" s="52">
        <v>2.0251400028163E13</v>
      </c>
      <c r="D25" s="52" t="s">
        <v>4962</v>
      </c>
      <c r="E25" s="52" t="s">
        <v>276</v>
      </c>
      <c r="F25" s="69">
        <v>45779.0</v>
      </c>
      <c r="G25" s="52" t="s">
        <v>3944</v>
      </c>
      <c r="H25" s="52">
        <v>367422.0</v>
      </c>
      <c r="I25" s="52" t="s">
        <v>3945</v>
      </c>
      <c r="J25" s="52" t="s">
        <v>112</v>
      </c>
      <c r="K25" s="52" t="s">
        <v>4963</v>
      </c>
      <c r="L25" s="52">
        <v>1.33750025E8</v>
      </c>
      <c r="M25" s="113">
        <v>45782.0</v>
      </c>
      <c r="N25" s="52" t="s">
        <v>4964</v>
      </c>
    </row>
    <row r="26">
      <c r="A26" s="52">
        <v>26.0</v>
      </c>
      <c r="B26" s="52" t="s">
        <v>4906</v>
      </c>
      <c r="C26" s="52">
        <v>2.0251500028173E13</v>
      </c>
      <c r="D26" s="52" t="s">
        <v>4965</v>
      </c>
      <c r="E26" s="52" t="s">
        <v>177</v>
      </c>
      <c r="F26" s="69">
        <v>45779.0</v>
      </c>
      <c r="G26" s="52" t="s">
        <v>3917</v>
      </c>
      <c r="H26" s="52">
        <v>5.3040784E7</v>
      </c>
      <c r="I26" s="52" t="s">
        <v>4058</v>
      </c>
      <c r="J26" s="52" t="s">
        <v>181</v>
      </c>
      <c r="K26" s="52" t="s">
        <v>4927</v>
      </c>
      <c r="L26" s="52">
        <v>1.33727225E8</v>
      </c>
      <c r="M26" s="113">
        <v>45782.0</v>
      </c>
      <c r="N26" s="52" t="s">
        <v>4966</v>
      </c>
    </row>
    <row r="27">
      <c r="A27" s="52">
        <v>27.0</v>
      </c>
      <c r="B27" s="52" t="s">
        <v>4906</v>
      </c>
      <c r="C27" s="52">
        <v>2.0251530028153E13</v>
      </c>
      <c r="D27" s="52" t="s">
        <v>4967</v>
      </c>
      <c r="E27" s="52" t="s">
        <v>1163</v>
      </c>
      <c r="F27" s="69">
        <v>45779.0</v>
      </c>
      <c r="G27" s="52" t="s">
        <v>3917</v>
      </c>
      <c r="H27" s="52">
        <v>1.05377392E9</v>
      </c>
      <c r="I27" s="52" t="s">
        <v>3989</v>
      </c>
      <c r="J27" s="52" t="s">
        <v>4433</v>
      </c>
      <c r="K27" s="52" t="s">
        <v>4927</v>
      </c>
      <c r="L27" s="52">
        <v>1.33748425E8</v>
      </c>
      <c r="M27" s="113">
        <v>45782.0</v>
      </c>
      <c r="N27" s="52" t="s">
        <v>4943</v>
      </c>
    </row>
    <row r="28">
      <c r="A28" s="52">
        <v>28.0</v>
      </c>
      <c r="B28" s="52" t="s">
        <v>4906</v>
      </c>
      <c r="C28" s="52">
        <v>2.0251300028183E13</v>
      </c>
      <c r="D28" s="52" t="s">
        <v>4968</v>
      </c>
      <c r="E28" s="52" t="s">
        <v>443</v>
      </c>
      <c r="F28" s="69">
        <v>45779.0</v>
      </c>
      <c r="G28" s="52" t="s">
        <v>3917</v>
      </c>
      <c r="H28" s="52">
        <v>1.2129602E7</v>
      </c>
      <c r="I28" s="52" t="s">
        <v>3997</v>
      </c>
      <c r="J28" s="52" t="s">
        <v>4358</v>
      </c>
      <c r="K28" s="52" t="s">
        <v>134</v>
      </c>
      <c r="L28" s="52">
        <v>1.33751925E8</v>
      </c>
      <c r="M28" s="113">
        <v>45782.0</v>
      </c>
      <c r="N28" s="52" t="s">
        <v>4969</v>
      </c>
    </row>
    <row r="29">
      <c r="A29" s="52">
        <v>29.0</v>
      </c>
      <c r="B29" s="52" t="s">
        <v>4906</v>
      </c>
      <c r="C29" s="52">
        <v>2.0251000028133E13</v>
      </c>
      <c r="D29" s="52" t="s">
        <v>4634</v>
      </c>
      <c r="E29" s="52" t="s">
        <v>4970</v>
      </c>
      <c r="F29" s="69">
        <v>45779.0</v>
      </c>
      <c r="G29" s="52" t="s">
        <v>3917</v>
      </c>
      <c r="H29" s="52">
        <v>3.9683177E7</v>
      </c>
      <c r="I29" s="52" t="s">
        <v>4000</v>
      </c>
      <c r="J29" s="52" t="s">
        <v>4971</v>
      </c>
      <c r="K29" s="52" t="s">
        <v>4947</v>
      </c>
      <c r="L29" s="52">
        <v>1.39269525E8</v>
      </c>
      <c r="M29" s="113">
        <v>45784.0</v>
      </c>
      <c r="N29" s="52" t="s">
        <v>4948</v>
      </c>
    </row>
    <row r="30">
      <c r="A30" s="52">
        <v>30.0</v>
      </c>
      <c r="B30" s="52" t="s">
        <v>4906</v>
      </c>
      <c r="C30" s="52">
        <v>2.0251400028213E13</v>
      </c>
      <c r="D30" s="52" t="s">
        <v>4972</v>
      </c>
      <c r="E30" s="52" t="s">
        <v>107</v>
      </c>
      <c r="F30" s="69">
        <v>45782.0</v>
      </c>
      <c r="G30" s="52" t="s">
        <v>3917</v>
      </c>
      <c r="H30" s="52">
        <v>1.032409297E9</v>
      </c>
      <c r="I30" s="52" t="s">
        <v>3934</v>
      </c>
      <c r="J30" s="52" t="s">
        <v>4973</v>
      </c>
      <c r="K30" s="52" t="s">
        <v>4963</v>
      </c>
      <c r="L30" s="52">
        <v>1.41324425E8</v>
      </c>
      <c r="M30" s="113">
        <v>45785.0</v>
      </c>
      <c r="N30" s="52" t="s">
        <v>4974</v>
      </c>
    </row>
    <row r="31">
      <c r="A31" s="52">
        <v>31.0</v>
      </c>
      <c r="B31" s="52" t="s">
        <v>4906</v>
      </c>
      <c r="C31" s="52">
        <v>2.0251140028223E13</v>
      </c>
      <c r="D31" s="52" t="s">
        <v>4975</v>
      </c>
      <c r="E31" s="52" t="s">
        <v>49</v>
      </c>
      <c r="F31" s="69">
        <v>45782.0</v>
      </c>
      <c r="G31" s="52" t="s">
        <v>3917</v>
      </c>
      <c r="H31" s="52">
        <v>1.053821048E9</v>
      </c>
      <c r="I31" s="52" t="s">
        <v>4081</v>
      </c>
      <c r="J31" s="52" t="s">
        <v>4209</v>
      </c>
      <c r="K31" s="52" t="s">
        <v>4976</v>
      </c>
      <c r="L31" s="52">
        <v>1.39255025E8</v>
      </c>
      <c r="M31" s="113">
        <v>45784.0</v>
      </c>
      <c r="N31" s="52" t="s">
        <v>4977</v>
      </c>
    </row>
    <row r="32">
      <c r="A32" s="52">
        <v>32.0</v>
      </c>
      <c r="B32" s="52" t="s">
        <v>4906</v>
      </c>
      <c r="C32" s="52">
        <v>2.0251500028243E13</v>
      </c>
      <c r="D32" s="52" t="s">
        <v>4978</v>
      </c>
      <c r="E32" s="52" t="s">
        <v>342</v>
      </c>
      <c r="F32" s="69">
        <v>45782.0</v>
      </c>
      <c r="G32" s="52" t="s">
        <v>3917</v>
      </c>
      <c r="H32" s="52">
        <v>1.143855242E9</v>
      </c>
      <c r="I32" s="52" t="s">
        <v>4004</v>
      </c>
      <c r="J32" s="52" t="s">
        <v>4979</v>
      </c>
      <c r="K32" s="52" t="s">
        <v>4927</v>
      </c>
      <c r="L32" s="52">
        <v>1.36211725E8</v>
      </c>
      <c r="M32" s="113">
        <v>45783.0</v>
      </c>
      <c r="N32" s="52" t="s">
        <v>4980</v>
      </c>
    </row>
    <row r="33">
      <c r="A33" s="52">
        <v>33.0</v>
      </c>
      <c r="B33" s="52" t="s">
        <v>4906</v>
      </c>
      <c r="C33" s="52">
        <v>2.0251010028303E13</v>
      </c>
      <c r="D33" s="52" t="s">
        <v>4981</v>
      </c>
      <c r="E33" s="52" t="s">
        <v>2879</v>
      </c>
      <c r="F33" s="69">
        <v>45782.0</v>
      </c>
      <c r="G33" s="52" t="s">
        <v>3917</v>
      </c>
      <c r="H33" s="52">
        <v>5.3134639E7</v>
      </c>
      <c r="I33" s="52" t="s">
        <v>3953</v>
      </c>
      <c r="J33" s="52" t="s">
        <v>127</v>
      </c>
      <c r="K33" s="52" t="s">
        <v>4922</v>
      </c>
      <c r="L33" s="52">
        <v>1.39231425E8</v>
      </c>
      <c r="M33" s="113">
        <v>45784.0</v>
      </c>
      <c r="N33" s="52" t="s">
        <v>4974</v>
      </c>
    </row>
    <row r="34">
      <c r="A34" s="52">
        <v>34.0</v>
      </c>
      <c r="B34" s="52" t="s">
        <v>4906</v>
      </c>
      <c r="C34" s="52">
        <v>2.0251020028343E13</v>
      </c>
      <c r="D34" s="52" t="s">
        <v>4982</v>
      </c>
      <c r="E34" s="52" t="s">
        <v>908</v>
      </c>
      <c r="F34" s="69">
        <v>45782.0</v>
      </c>
      <c r="G34" s="52" t="s">
        <v>3917</v>
      </c>
      <c r="H34" s="52">
        <v>1.0207309E9</v>
      </c>
      <c r="I34" s="52" t="s">
        <v>4329</v>
      </c>
      <c r="J34" s="52" t="s">
        <v>4690</v>
      </c>
      <c r="K34" s="52" t="s">
        <v>4976</v>
      </c>
      <c r="L34" s="52">
        <v>1.39262325E8</v>
      </c>
      <c r="M34" s="113">
        <v>45784.0</v>
      </c>
      <c r="N34" s="52" t="s">
        <v>4983</v>
      </c>
    </row>
    <row r="35">
      <c r="A35" s="52">
        <v>35.0</v>
      </c>
      <c r="B35" s="52" t="s">
        <v>4906</v>
      </c>
      <c r="C35" s="52">
        <v>2.0251900028353E13</v>
      </c>
      <c r="D35" s="52" t="s">
        <v>4984</v>
      </c>
      <c r="E35" s="52" t="s">
        <v>4985</v>
      </c>
      <c r="F35" s="69">
        <v>45782.0</v>
      </c>
      <c r="G35" s="52" t="s">
        <v>3917</v>
      </c>
      <c r="H35" s="52">
        <v>1.010065876E9</v>
      </c>
      <c r="I35" s="52" t="s">
        <v>4450</v>
      </c>
      <c r="J35" s="52" t="s">
        <v>4986</v>
      </c>
      <c r="K35" s="52" t="s">
        <v>4908</v>
      </c>
      <c r="L35" s="52">
        <v>1.36463025E8</v>
      </c>
      <c r="M35" s="113">
        <v>45783.0</v>
      </c>
      <c r="N35" s="52" t="s">
        <v>4987</v>
      </c>
    </row>
    <row r="36">
      <c r="A36" s="52">
        <v>36.0</v>
      </c>
      <c r="B36" s="52" t="s">
        <v>4906</v>
      </c>
      <c r="C36" s="52">
        <v>2.0251400028363E13</v>
      </c>
      <c r="D36" s="52" t="s">
        <v>4988</v>
      </c>
      <c r="E36" s="52" t="s">
        <v>1114</v>
      </c>
      <c r="F36" s="69">
        <v>45782.0</v>
      </c>
      <c r="G36" s="52" t="s">
        <v>3917</v>
      </c>
      <c r="H36" s="52">
        <v>8.0012143E7</v>
      </c>
      <c r="I36" s="52" t="s">
        <v>4225</v>
      </c>
      <c r="J36" s="52" t="s">
        <v>666</v>
      </c>
      <c r="K36" s="52" t="s">
        <v>4963</v>
      </c>
      <c r="L36" s="52">
        <v>1.39270525E8</v>
      </c>
      <c r="M36" s="113">
        <v>45784.0</v>
      </c>
      <c r="N36" s="52" t="s">
        <v>4989</v>
      </c>
    </row>
    <row r="37">
      <c r="A37" s="52">
        <v>37.0</v>
      </c>
      <c r="B37" s="52" t="s">
        <v>4906</v>
      </c>
      <c r="C37" s="52">
        <v>2.0251400028373E13</v>
      </c>
      <c r="D37" s="52" t="s">
        <v>4990</v>
      </c>
      <c r="E37" s="52" t="s">
        <v>2854</v>
      </c>
      <c r="F37" s="69">
        <v>45782.0</v>
      </c>
      <c r="G37" s="52" t="s">
        <v>3917</v>
      </c>
      <c r="H37" s="52">
        <v>1.019065789E9</v>
      </c>
      <c r="I37" s="52" t="s">
        <v>3979</v>
      </c>
      <c r="J37" s="52" t="s">
        <v>4991</v>
      </c>
      <c r="K37" s="52" t="s">
        <v>4963</v>
      </c>
      <c r="L37" s="52">
        <v>1.39238625E8</v>
      </c>
      <c r="M37" s="113">
        <v>45784.0</v>
      </c>
      <c r="N37" s="52" t="s">
        <v>4964</v>
      </c>
    </row>
    <row r="38">
      <c r="A38" s="52">
        <v>38.0</v>
      </c>
      <c r="B38" s="52" t="s">
        <v>4906</v>
      </c>
      <c r="C38" s="52">
        <v>2.0251400028393E13</v>
      </c>
      <c r="D38" s="52" t="s">
        <v>4722</v>
      </c>
      <c r="E38" s="52" t="s">
        <v>1125</v>
      </c>
      <c r="F38" s="69">
        <v>45782.0</v>
      </c>
      <c r="G38" s="52" t="s">
        <v>3917</v>
      </c>
      <c r="H38" s="52">
        <v>1.019003737E9</v>
      </c>
      <c r="I38" s="52" t="s">
        <v>4217</v>
      </c>
      <c r="J38" s="52" t="s">
        <v>666</v>
      </c>
      <c r="K38" s="52" t="s">
        <v>4963</v>
      </c>
      <c r="L38" s="52">
        <v>1.39292725E8</v>
      </c>
      <c r="M38" s="113">
        <v>45784.0</v>
      </c>
      <c r="N38" s="52" t="s">
        <v>4964</v>
      </c>
    </row>
    <row r="39">
      <c r="A39" s="52">
        <v>39.0</v>
      </c>
      <c r="B39" s="52" t="s">
        <v>4906</v>
      </c>
      <c r="C39" s="52">
        <v>2.0251400028383E13</v>
      </c>
      <c r="D39" s="52" t="s">
        <v>4992</v>
      </c>
      <c r="E39" s="52" t="s">
        <v>2888</v>
      </c>
      <c r="F39" s="69">
        <v>45782.0</v>
      </c>
      <c r="G39" s="52" t="s">
        <v>3917</v>
      </c>
      <c r="H39" s="52">
        <v>1.069759231E9</v>
      </c>
      <c r="I39" s="52" t="s">
        <v>3975</v>
      </c>
      <c r="J39" s="52" t="s">
        <v>666</v>
      </c>
      <c r="K39" s="52" t="s">
        <v>4963</v>
      </c>
      <c r="L39" s="52">
        <v>1.36172525E8</v>
      </c>
      <c r="M39" s="113">
        <v>45783.0</v>
      </c>
      <c r="N39" s="52" t="s">
        <v>4993</v>
      </c>
    </row>
    <row r="40">
      <c r="A40" s="52">
        <v>40.0</v>
      </c>
      <c r="B40" s="52" t="s">
        <v>4906</v>
      </c>
      <c r="C40" s="52">
        <v>2.0251000028403E13</v>
      </c>
      <c r="D40" s="52" t="s">
        <v>4994</v>
      </c>
      <c r="E40" s="52" t="s">
        <v>913</v>
      </c>
      <c r="F40" s="69">
        <v>45782.0</v>
      </c>
      <c r="G40" s="52" t="s">
        <v>3917</v>
      </c>
      <c r="H40" s="52">
        <v>1.032450346E9</v>
      </c>
      <c r="I40" s="52" t="s">
        <v>4498</v>
      </c>
      <c r="J40" s="52" t="s">
        <v>657</v>
      </c>
      <c r="K40" s="52" t="s">
        <v>4947</v>
      </c>
      <c r="L40" s="52">
        <v>1.34043725E8</v>
      </c>
      <c r="M40" s="113">
        <v>45782.0</v>
      </c>
      <c r="N40" s="52" t="s">
        <v>4995</v>
      </c>
    </row>
    <row r="41">
      <c r="A41" s="52">
        <v>41.0</v>
      </c>
      <c r="B41" s="52" t="s">
        <v>4906</v>
      </c>
      <c r="C41" s="52">
        <v>2.0251900001506E13</v>
      </c>
      <c r="D41" s="52" t="s">
        <v>4996</v>
      </c>
      <c r="E41" s="52" t="s">
        <v>4242</v>
      </c>
      <c r="F41" s="69">
        <v>45782.0</v>
      </c>
      <c r="G41" s="52" t="s">
        <v>3917</v>
      </c>
      <c r="H41" s="52">
        <v>1.015471886E9</v>
      </c>
      <c r="I41" s="52" t="s">
        <v>4243</v>
      </c>
      <c r="J41" s="52" t="s">
        <v>222</v>
      </c>
      <c r="K41" s="52" t="s">
        <v>4908</v>
      </c>
      <c r="L41" s="52">
        <v>1.36243125E8</v>
      </c>
      <c r="M41" s="113">
        <v>45783.0</v>
      </c>
      <c r="N41" s="52" t="s">
        <v>4997</v>
      </c>
    </row>
    <row r="42">
      <c r="A42" s="52">
        <v>42.0</v>
      </c>
      <c r="B42" s="52" t="s">
        <v>4906</v>
      </c>
      <c r="C42" s="52">
        <v>2.0251110028413E13</v>
      </c>
      <c r="D42" s="52" t="s">
        <v>4998</v>
      </c>
      <c r="E42" s="52" t="s">
        <v>4574</v>
      </c>
      <c r="F42" s="69">
        <v>45782.0</v>
      </c>
      <c r="G42" s="52" t="s">
        <v>4127</v>
      </c>
      <c r="H42" s="52">
        <v>8.00193221E8</v>
      </c>
      <c r="I42" s="52" t="s">
        <v>4575</v>
      </c>
      <c r="J42" s="52" t="s">
        <v>524</v>
      </c>
      <c r="K42" s="52" t="s">
        <v>4914</v>
      </c>
      <c r="L42" s="52">
        <v>1.36457525E8</v>
      </c>
      <c r="M42" s="113">
        <v>45783.0</v>
      </c>
      <c r="N42" s="52" t="s">
        <v>4999</v>
      </c>
    </row>
    <row r="43">
      <c r="A43" s="52">
        <v>43.0</v>
      </c>
      <c r="B43" s="52" t="s">
        <v>4906</v>
      </c>
      <c r="C43" s="52">
        <v>2.0251500028423E13</v>
      </c>
      <c r="D43" s="52" t="s">
        <v>5000</v>
      </c>
      <c r="E43" s="52" t="s">
        <v>416</v>
      </c>
      <c r="F43" s="69">
        <v>45782.0</v>
      </c>
      <c r="G43" s="52" t="s">
        <v>3917</v>
      </c>
      <c r="H43" s="52">
        <v>1.05382899E9</v>
      </c>
      <c r="I43" s="52" t="s">
        <v>3947</v>
      </c>
      <c r="J43" s="52" t="s">
        <v>421</v>
      </c>
      <c r="K43" s="52" t="s">
        <v>4927</v>
      </c>
      <c r="L43" s="52">
        <v>1.36418325E8</v>
      </c>
      <c r="M43" s="113">
        <v>45783.0</v>
      </c>
      <c r="N43" s="52" t="s">
        <v>5001</v>
      </c>
    </row>
    <row r="44">
      <c r="A44" s="52">
        <v>44.0</v>
      </c>
      <c r="B44" s="52" t="s">
        <v>4906</v>
      </c>
      <c r="C44" s="52">
        <v>2.0251400028433E13</v>
      </c>
      <c r="D44" s="52" t="s">
        <v>5002</v>
      </c>
      <c r="E44" s="52" t="s">
        <v>5003</v>
      </c>
      <c r="F44" s="69">
        <v>45782.0</v>
      </c>
      <c r="G44" s="52" t="s">
        <v>5004</v>
      </c>
      <c r="H44" s="52" t="s">
        <v>1195</v>
      </c>
      <c r="I44" s="52" t="s">
        <v>5005</v>
      </c>
      <c r="J44" s="52" t="s">
        <v>1291</v>
      </c>
      <c r="K44" s="52" t="s">
        <v>4963</v>
      </c>
      <c r="L44" s="52">
        <v>1.50177425E8</v>
      </c>
      <c r="M44" s="113">
        <v>45791.0</v>
      </c>
      <c r="N44" s="52" t="s">
        <v>5006</v>
      </c>
    </row>
    <row r="45">
      <c r="A45" s="52">
        <v>45.0</v>
      </c>
      <c r="B45" s="52" t="s">
        <v>4906</v>
      </c>
      <c r="C45" s="52">
        <v>2.0251530028443E13</v>
      </c>
      <c r="D45" s="52" t="s">
        <v>5007</v>
      </c>
      <c r="E45" s="52" t="s">
        <v>899</v>
      </c>
      <c r="F45" s="69">
        <v>45782.0</v>
      </c>
      <c r="G45" s="52" t="s">
        <v>3917</v>
      </c>
      <c r="H45" s="52">
        <v>7.9272744E7</v>
      </c>
      <c r="I45" s="52" t="s">
        <v>4552</v>
      </c>
      <c r="J45" s="52" t="s">
        <v>973</v>
      </c>
      <c r="K45" s="52" t="s">
        <v>4927</v>
      </c>
      <c r="L45" s="52">
        <v>1.39245925E8</v>
      </c>
      <c r="M45" s="113">
        <v>45784.0</v>
      </c>
      <c r="N45" s="52" t="s">
        <v>4943</v>
      </c>
    </row>
    <row r="46">
      <c r="A46" s="52">
        <v>46.0</v>
      </c>
      <c r="B46" s="52" t="s">
        <v>4906</v>
      </c>
      <c r="C46" s="52">
        <v>2.0251530028453E13</v>
      </c>
      <c r="D46" s="52" t="s">
        <v>5008</v>
      </c>
      <c r="E46" s="52" t="s">
        <v>894</v>
      </c>
      <c r="F46" s="69">
        <v>45782.0</v>
      </c>
      <c r="G46" s="52" t="s">
        <v>3917</v>
      </c>
      <c r="H46" s="52">
        <v>1.070918327E9</v>
      </c>
      <c r="I46" s="52" t="s">
        <v>4227</v>
      </c>
      <c r="J46" s="52" t="s">
        <v>4655</v>
      </c>
      <c r="K46" s="52" t="s">
        <v>4927</v>
      </c>
      <c r="L46" s="52">
        <v>1.39233325E8</v>
      </c>
      <c r="M46" s="113">
        <v>45784.0</v>
      </c>
      <c r="N46" s="52" t="s">
        <v>4943</v>
      </c>
    </row>
    <row r="47">
      <c r="A47" s="52">
        <v>47.0</v>
      </c>
      <c r="B47" s="52" t="s">
        <v>4906</v>
      </c>
      <c r="C47" s="52">
        <v>2.0251500028463E13</v>
      </c>
      <c r="D47" s="52" t="s">
        <v>5009</v>
      </c>
      <c r="E47" s="52" t="s">
        <v>766</v>
      </c>
      <c r="F47" s="69">
        <v>45782.0</v>
      </c>
      <c r="G47" s="52" t="s">
        <v>3917</v>
      </c>
      <c r="H47" s="52">
        <v>1.078371849E9</v>
      </c>
      <c r="I47" s="52" t="s">
        <v>4335</v>
      </c>
      <c r="J47" s="52" t="s">
        <v>4336</v>
      </c>
      <c r="K47" s="52" t="s">
        <v>4927</v>
      </c>
      <c r="L47" s="52">
        <v>1.39243325E8</v>
      </c>
      <c r="M47" s="113">
        <v>45784.0</v>
      </c>
      <c r="N47" s="52" t="s">
        <v>5010</v>
      </c>
    </row>
    <row r="48">
      <c r="A48" s="52">
        <v>48.0</v>
      </c>
      <c r="B48" s="52" t="s">
        <v>4906</v>
      </c>
      <c r="C48" s="52">
        <v>2.0251000028473E13</v>
      </c>
      <c r="D48" s="52" t="s">
        <v>5011</v>
      </c>
      <c r="E48" s="52" t="s">
        <v>785</v>
      </c>
      <c r="F48" s="69">
        <v>45782.0</v>
      </c>
      <c r="G48" s="52" t="s">
        <v>3917</v>
      </c>
      <c r="H48" s="52">
        <v>1.007688013E9</v>
      </c>
      <c r="I48" s="52" t="s">
        <v>4365</v>
      </c>
      <c r="J48" s="52" t="s">
        <v>99</v>
      </c>
      <c r="K48" s="52" t="s">
        <v>4947</v>
      </c>
      <c r="L48" s="52">
        <v>1.39249725E8</v>
      </c>
      <c r="M48" s="113">
        <v>45784.0</v>
      </c>
      <c r="N48" s="52" t="s">
        <v>5012</v>
      </c>
    </row>
    <row r="49">
      <c r="A49" s="52">
        <v>49.0</v>
      </c>
      <c r="B49" s="52" t="s">
        <v>4906</v>
      </c>
      <c r="C49" s="52">
        <v>2.0251000028523E13</v>
      </c>
      <c r="D49" s="52" t="s">
        <v>5013</v>
      </c>
      <c r="E49" s="52" t="s">
        <v>2783</v>
      </c>
      <c r="F49" s="69">
        <v>45782.0</v>
      </c>
      <c r="G49" s="52" t="s">
        <v>3917</v>
      </c>
      <c r="H49" s="52">
        <v>1.010101135E9</v>
      </c>
      <c r="I49" s="52" t="s">
        <v>4120</v>
      </c>
      <c r="J49" s="52" t="s">
        <v>657</v>
      </c>
      <c r="K49" s="52" t="s">
        <v>4947</v>
      </c>
      <c r="L49" s="52">
        <v>1.39248825E8</v>
      </c>
      <c r="M49" s="113">
        <v>45784.0</v>
      </c>
      <c r="N49" s="52" t="s">
        <v>5014</v>
      </c>
    </row>
    <row r="50">
      <c r="A50" s="52">
        <v>50.0</v>
      </c>
      <c r="B50" s="52" t="s">
        <v>4906</v>
      </c>
      <c r="C50" s="52">
        <v>2.0251000028533E13</v>
      </c>
      <c r="D50" s="52" t="s">
        <v>5015</v>
      </c>
      <c r="E50" s="52" t="s">
        <v>594</v>
      </c>
      <c r="F50" s="69">
        <v>45782.0</v>
      </c>
      <c r="G50" s="52" t="s">
        <v>3917</v>
      </c>
      <c r="H50" s="52">
        <v>7.9217264E7</v>
      </c>
      <c r="I50" s="52" t="s">
        <v>4560</v>
      </c>
      <c r="J50" s="52" t="s">
        <v>657</v>
      </c>
      <c r="K50" s="52" t="s">
        <v>4947</v>
      </c>
      <c r="L50" s="52">
        <v>1.41486025E8</v>
      </c>
      <c r="M50" s="113">
        <v>45785.0</v>
      </c>
      <c r="N50" s="52" t="s">
        <v>5016</v>
      </c>
    </row>
    <row r="51">
      <c r="A51" s="52">
        <v>51.0</v>
      </c>
      <c r="B51" s="52" t="s">
        <v>4906</v>
      </c>
      <c r="C51" s="52">
        <v>2.0251000028543E13</v>
      </c>
      <c r="D51" s="52" t="s">
        <v>5017</v>
      </c>
      <c r="E51" s="52" t="s">
        <v>1041</v>
      </c>
      <c r="F51" s="69">
        <v>45782.0</v>
      </c>
      <c r="G51" s="52" t="s">
        <v>3917</v>
      </c>
      <c r="H51" s="52">
        <v>1.013597889E9</v>
      </c>
      <c r="I51" s="52" t="s">
        <v>4548</v>
      </c>
      <c r="J51" s="52" t="s">
        <v>657</v>
      </c>
      <c r="K51" s="52" t="s">
        <v>4947</v>
      </c>
      <c r="L51" s="52">
        <v>1.41490925E8</v>
      </c>
      <c r="M51" s="113">
        <v>45785.0</v>
      </c>
      <c r="N51" s="52" t="s">
        <v>4909</v>
      </c>
    </row>
    <row r="52">
      <c r="A52" s="52">
        <v>52.0</v>
      </c>
      <c r="B52" s="52" t="s">
        <v>4906</v>
      </c>
      <c r="C52" s="52">
        <v>2.0251000028573E13</v>
      </c>
      <c r="D52" s="52" t="s">
        <v>5018</v>
      </c>
      <c r="E52" s="52" t="s">
        <v>589</v>
      </c>
      <c r="F52" s="69">
        <v>45782.0</v>
      </c>
      <c r="G52" s="52" t="s">
        <v>3917</v>
      </c>
      <c r="H52" s="52">
        <v>1.032414974E9</v>
      </c>
      <c r="I52" s="52" t="s">
        <v>4485</v>
      </c>
      <c r="J52" s="52" t="s">
        <v>657</v>
      </c>
      <c r="K52" s="52" t="s">
        <v>4947</v>
      </c>
      <c r="L52" s="52">
        <v>1.43695725E8</v>
      </c>
      <c r="M52" s="113">
        <v>45786.0</v>
      </c>
      <c r="N52" s="52" t="s">
        <v>4909</v>
      </c>
    </row>
    <row r="53">
      <c r="A53" s="52">
        <v>53.0</v>
      </c>
      <c r="B53" s="52" t="s">
        <v>4906</v>
      </c>
      <c r="C53" s="52">
        <v>2.0251000028563E13</v>
      </c>
      <c r="D53" s="52" t="s">
        <v>5019</v>
      </c>
      <c r="E53" s="52" t="s">
        <v>731</v>
      </c>
      <c r="F53" s="69">
        <v>45782.0</v>
      </c>
      <c r="G53" s="52" t="s">
        <v>3917</v>
      </c>
      <c r="H53" s="52">
        <v>1.235539689E9</v>
      </c>
      <c r="I53" s="52" t="s">
        <v>4550</v>
      </c>
      <c r="J53" s="52" t="s">
        <v>657</v>
      </c>
      <c r="K53" s="52" t="s">
        <v>4947</v>
      </c>
      <c r="L53" s="52">
        <v>1.41504525E8</v>
      </c>
      <c r="M53" s="113">
        <v>45785.0</v>
      </c>
      <c r="N53" s="52" t="s">
        <v>5020</v>
      </c>
    </row>
    <row r="54">
      <c r="A54" s="52">
        <v>54.0</v>
      </c>
      <c r="B54" s="52" t="s">
        <v>4906</v>
      </c>
      <c r="C54" s="52">
        <v>2.0251000028553E13</v>
      </c>
      <c r="D54" s="52" t="s">
        <v>5021</v>
      </c>
      <c r="E54" s="52" t="s">
        <v>2836</v>
      </c>
      <c r="F54" s="69">
        <v>45782.0</v>
      </c>
      <c r="G54" s="52" t="s">
        <v>3917</v>
      </c>
      <c r="H54" s="52">
        <v>1.01428721E9</v>
      </c>
      <c r="I54" s="52" t="s">
        <v>4140</v>
      </c>
      <c r="J54" s="52" t="s">
        <v>657</v>
      </c>
      <c r="K54" s="52" t="s">
        <v>4947</v>
      </c>
      <c r="L54" s="52">
        <v>1.53002325E8</v>
      </c>
      <c r="M54" s="113">
        <v>45793.0</v>
      </c>
      <c r="N54" s="52" t="s">
        <v>5022</v>
      </c>
    </row>
    <row r="55">
      <c r="A55" s="52">
        <v>55.0</v>
      </c>
      <c r="B55" s="52" t="s">
        <v>4906</v>
      </c>
      <c r="C55" s="52">
        <v>2.0251000028583E13</v>
      </c>
      <c r="D55" s="52" t="s">
        <v>5023</v>
      </c>
      <c r="E55" s="52" t="s">
        <v>4137</v>
      </c>
      <c r="F55" s="69">
        <v>45782.0</v>
      </c>
      <c r="G55" s="52" t="s">
        <v>3917</v>
      </c>
      <c r="H55" s="52">
        <v>1.085897401E9</v>
      </c>
      <c r="I55" s="52" t="s">
        <v>4138</v>
      </c>
      <c r="J55" s="52" t="s">
        <v>657</v>
      </c>
      <c r="K55" s="52" t="s">
        <v>4947</v>
      </c>
      <c r="L55" s="52">
        <v>1.36244625E8</v>
      </c>
      <c r="M55" s="113">
        <v>45783.0</v>
      </c>
      <c r="N55" s="52" t="s">
        <v>5024</v>
      </c>
    </row>
    <row r="56">
      <c r="A56" s="52">
        <v>56.0</v>
      </c>
      <c r="B56" s="52" t="s">
        <v>4906</v>
      </c>
      <c r="C56" s="52">
        <v>2.0251000028603E13</v>
      </c>
      <c r="D56" s="52" t="s">
        <v>5025</v>
      </c>
      <c r="E56" s="52" t="s">
        <v>722</v>
      </c>
      <c r="F56" s="69">
        <v>45782.0</v>
      </c>
      <c r="G56" s="52" t="s">
        <v>3917</v>
      </c>
      <c r="H56" s="52">
        <v>1.03117359E9</v>
      </c>
      <c r="I56" s="52" t="s">
        <v>4545</v>
      </c>
      <c r="J56" s="52" t="s">
        <v>657</v>
      </c>
      <c r="K56" s="52" t="s">
        <v>4947</v>
      </c>
      <c r="L56" s="52">
        <v>1.36250325E8</v>
      </c>
      <c r="M56" s="113">
        <v>45783.0</v>
      </c>
      <c r="N56" s="52" t="s">
        <v>5026</v>
      </c>
    </row>
    <row r="57">
      <c r="A57" s="52">
        <v>57.0</v>
      </c>
      <c r="B57" s="52" t="s">
        <v>4906</v>
      </c>
      <c r="C57" s="52">
        <v>2.0251110027943E13</v>
      </c>
      <c r="D57" s="52" t="s">
        <v>5027</v>
      </c>
      <c r="E57" s="52" t="s">
        <v>5028</v>
      </c>
      <c r="F57" s="69">
        <v>45782.0</v>
      </c>
      <c r="G57" s="52" t="s">
        <v>3917</v>
      </c>
      <c r="H57" s="52">
        <v>5.2045839E7</v>
      </c>
      <c r="I57" s="52" t="s">
        <v>3969</v>
      </c>
      <c r="J57" s="52" t="s">
        <v>146</v>
      </c>
      <c r="K57" s="52" t="s">
        <v>4914</v>
      </c>
      <c r="L57" s="52">
        <v>1.39287325E8</v>
      </c>
      <c r="M57" s="113">
        <v>45784.0</v>
      </c>
      <c r="N57" s="52" t="s">
        <v>5029</v>
      </c>
    </row>
    <row r="58">
      <c r="A58" s="52">
        <v>58.0</v>
      </c>
      <c r="B58" s="52" t="s">
        <v>4906</v>
      </c>
      <c r="C58" s="52">
        <v>2.0251300028003E13</v>
      </c>
      <c r="D58" s="52" t="s">
        <v>5030</v>
      </c>
      <c r="E58" s="52" t="s">
        <v>5031</v>
      </c>
      <c r="F58" s="69">
        <v>45782.0</v>
      </c>
      <c r="G58" s="52" t="s">
        <v>3917</v>
      </c>
      <c r="H58" s="52">
        <v>1.010244152E9</v>
      </c>
      <c r="I58" s="52" t="s">
        <v>4006</v>
      </c>
      <c r="J58" s="52" t="s">
        <v>133</v>
      </c>
      <c r="K58" s="52" t="s">
        <v>134</v>
      </c>
      <c r="L58" s="52">
        <v>1.36254425E8</v>
      </c>
      <c r="M58" s="113">
        <v>45783.0</v>
      </c>
      <c r="N58" s="52" t="s">
        <v>5032</v>
      </c>
    </row>
    <row r="59">
      <c r="A59" s="52">
        <v>59.0</v>
      </c>
      <c r="B59" s="52" t="s">
        <v>4906</v>
      </c>
      <c r="C59" s="52">
        <v>2.0251010028053E13</v>
      </c>
      <c r="D59" s="52" t="s">
        <v>5033</v>
      </c>
      <c r="E59" s="52" t="s">
        <v>423</v>
      </c>
      <c r="F59" s="69">
        <v>45782.0</v>
      </c>
      <c r="G59" s="52" t="s">
        <v>3917</v>
      </c>
      <c r="H59" s="52">
        <v>1.020786621E9</v>
      </c>
      <c r="I59" s="52" t="s">
        <v>3928</v>
      </c>
      <c r="J59" s="52" t="s">
        <v>428</v>
      </c>
      <c r="K59" s="52" t="s">
        <v>4922</v>
      </c>
      <c r="L59" s="52">
        <v>1.36371425E8</v>
      </c>
      <c r="M59" s="113">
        <v>45783.0</v>
      </c>
      <c r="N59" s="52" t="s">
        <v>4920</v>
      </c>
    </row>
    <row r="60">
      <c r="A60" s="52">
        <v>60.0</v>
      </c>
      <c r="B60" s="52" t="s">
        <v>4906</v>
      </c>
      <c r="C60" s="52">
        <v>2.0251010028013E13</v>
      </c>
      <c r="D60" s="52" t="s">
        <v>5034</v>
      </c>
      <c r="E60" s="52" t="s">
        <v>1005</v>
      </c>
      <c r="F60" s="69">
        <v>45782.0</v>
      </c>
      <c r="G60" s="52" t="s">
        <v>3917</v>
      </c>
      <c r="H60" s="52">
        <v>5.2498078E7</v>
      </c>
      <c r="I60" s="52" t="s">
        <v>4262</v>
      </c>
      <c r="J60" s="52" t="s">
        <v>428</v>
      </c>
      <c r="K60" s="52" t="s">
        <v>4922</v>
      </c>
      <c r="L60" s="52">
        <v>1.53005825E8</v>
      </c>
      <c r="M60" s="113">
        <v>45793.0</v>
      </c>
      <c r="N60" s="52" t="s">
        <v>5035</v>
      </c>
    </row>
    <row r="61">
      <c r="A61" s="52">
        <v>61.0</v>
      </c>
      <c r="B61" s="52" t="s">
        <v>4906</v>
      </c>
      <c r="C61" s="52">
        <v>2.0251020028623E13</v>
      </c>
      <c r="D61" s="52" t="s">
        <v>5036</v>
      </c>
      <c r="E61" s="52" t="s">
        <v>2770</v>
      </c>
      <c r="F61" s="69">
        <v>45782.0</v>
      </c>
      <c r="G61" s="52" t="s">
        <v>3917</v>
      </c>
      <c r="H61" s="52">
        <v>1.233490485E9</v>
      </c>
      <c r="I61" s="52" t="s">
        <v>4160</v>
      </c>
      <c r="J61" s="52" t="s">
        <v>4295</v>
      </c>
      <c r="K61" s="52" t="s">
        <v>4976</v>
      </c>
      <c r="L61" s="52">
        <v>1.53000525E8</v>
      </c>
      <c r="M61" s="113">
        <v>45793.0</v>
      </c>
      <c r="N61" s="52" t="s">
        <v>5037</v>
      </c>
    </row>
    <row r="62">
      <c r="A62" s="52">
        <v>62.0</v>
      </c>
      <c r="B62" s="52" t="s">
        <v>4906</v>
      </c>
      <c r="C62" s="52">
        <v>2.0251100028633E13</v>
      </c>
      <c r="D62" s="52" t="s">
        <v>5038</v>
      </c>
      <c r="E62" s="52" t="s">
        <v>5039</v>
      </c>
      <c r="F62" s="69">
        <v>45782.0</v>
      </c>
      <c r="G62" s="52" t="s">
        <v>3917</v>
      </c>
      <c r="H62" s="52">
        <v>2.6428474E7</v>
      </c>
      <c r="I62" s="52" t="s">
        <v>4579</v>
      </c>
      <c r="J62" s="52" t="s">
        <v>4504</v>
      </c>
      <c r="K62" s="52" t="s">
        <v>4947</v>
      </c>
      <c r="L62" s="52">
        <v>1.39252325E8</v>
      </c>
      <c r="M62" s="113">
        <v>45784.0</v>
      </c>
      <c r="N62" s="52" t="s">
        <v>5040</v>
      </c>
    </row>
    <row r="63">
      <c r="A63" s="52">
        <v>63.0</v>
      </c>
      <c r="B63" s="52" t="s">
        <v>4906</v>
      </c>
      <c r="C63" s="52">
        <v>2.0251000028643E13</v>
      </c>
      <c r="D63" s="52" t="s">
        <v>5041</v>
      </c>
      <c r="E63" s="52" t="s">
        <v>1159</v>
      </c>
      <c r="F63" s="69">
        <v>45782.0</v>
      </c>
      <c r="G63" s="52" t="s">
        <v>3917</v>
      </c>
      <c r="H63" s="52">
        <v>1.030562466E9</v>
      </c>
      <c r="I63" s="52" t="s">
        <v>4853</v>
      </c>
      <c r="J63" s="52" t="s">
        <v>657</v>
      </c>
      <c r="K63" s="52" t="s">
        <v>4947</v>
      </c>
      <c r="L63" s="52">
        <v>1.43679325E8</v>
      </c>
      <c r="M63" s="113">
        <v>45786.0</v>
      </c>
      <c r="N63" s="52" t="s">
        <v>5042</v>
      </c>
    </row>
    <row r="64">
      <c r="A64" s="52">
        <v>64.0</v>
      </c>
      <c r="B64" s="52" t="s">
        <v>4906</v>
      </c>
      <c r="C64" s="52">
        <v>2.0251900028653E13</v>
      </c>
      <c r="D64" s="52" t="s">
        <v>5043</v>
      </c>
      <c r="E64" s="52" t="s">
        <v>5044</v>
      </c>
      <c r="F64" s="69">
        <v>45782.0</v>
      </c>
      <c r="G64" s="52" t="s">
        <v>3917</v>
      </c>
      <c r="H64" s="52">
        <v>1.098826619E9</v>
      </c>
      <c r="I64" s="52" t="s">
        <v>4342</v>
      </c>
      <c r="J64" s="52" t="s">
        <v>779</v>
      </c>
      <c r="K64" s="52" t="s">
        <v>4908</v>
      </c>
      <c r="L64" s="52">
        <v>1.39267425E8</v>
      </c>
      <c r="M64" s="113">
        <v>45784.0</v>
      </c>
      <c r="N64" s="52" t="s">
        <v>5026</v>
      </c>
    </row>
    <row r="65">
      <c r="A65" s="52">
        <v>66.0</v>
      </c>
      <c r="B65" s="52" t="s">
        <v>4906</v>
      </c>
      <c r="C65" s="52">
        <v>2.0251900028683E13</v>
      </c>
      <c r="D65" s="52" t="s">
        <v>5045</v>
      </c>
      <c r="E65" s="52" t="s">
        <v>4286</v>
      </c>
      <c r="F65" s="69">
        <v>45782.0</v>
      </c>
      <c r="G65" s="52" t="s">
        <v>3917</v>
      </c>
      <c r="H65" s="52">
        <v>1.030564407E9</v>
      </c>
      <c r="I65" s="52" t="s">
        <v>4287</v>
      </c>
      <c r="J65" s="52" t="s">
        <v>222</v>
      </c>
      <c r="K65" s="52" t="s">
        <v>4908</v>
      </c>
      <c r="L65" s="52">
        <v>1.39290425E8</v>
      </c>
      <c r="M65" s="113">
        <v>45784.0</v>
      </c>
      <c r="N65" s="52" t="s">
        <v>5046</v>
      </c>
    </row>
    <row r="66">
      <c r="A66" s="52">
        <v>67.0</v>
      </c>
      <c r="B66" s="52" t="s">
        <v>4906</v>
      </c>
      <c r="C66" s="52">
        <v>2.0251020028673E13</v>
      </c>
      <c r="D66" s="52" t="s">
        <v>5047</v>
      </c>
      <c r="E66" s="52" t="s">
        <v>4385</v>
      </c>
      <c r="F66" s="69">
        <v>45782.0</v>
      </c>
      <c r="G66" s="52" t="s">
        <v>3917</v>
      </c>
      <c r="H66" s="52">
        <v>1.024476225E9</v>
      </c>
      <c r="I66" s="52" t="s">
        <v>4386</v>
      </c>
      <c r="J66" s="52" t="s">
        <v>4295</v>
      </c>
      <c r="K66" s="52" t="s">
        <v>4976</v>
      </c>
      <c r="L66" s="52">
        <v>1.53054825E8</v>
      </c>
      <c r="M66" s="113">
        <v>45793.0</v>
      </c>
      <c r="N66" s="52" t="s">
        <v>5048</v>
      </c>
    </row>
    <row r="67">
      <c r="A67" s="52">
        <v>68.0</v>
      </c>
      <c r="B67" s="52" t="s">
        <v>4906</v>
      </c>
      <c r="C67" s="52">
        <v>2.0251020028693E13</v>
      </c>
      <c r="D67" s="52" t="s">
        <v>5049</v>
      </c>
      <c r="E67" s="52" t="s">
        <v>1029</v>
      </c>
      <c r="F67" s="69">
        <v>45782.0</v>
      </c>
      <c r="G67" s="52" t="s">
        <v>3917</v>
      </c>
      <c r="H67" s="52">
        <v>5.2515178E7</v>
      </c>
      <c r="I67" s="52" t="s">
        <v>4430</v>
      </c>
      <c r="J67" s="52" t="s">
        <v>4703</v>
      </c>
      <c r="K67" s="52" t="s">
        <v>4976</v>
      </c>
      <c r="L67" s="52">
        <v>1.48894225E8</v>
      </c>
      <c r="M67" s="113">
        <v>45790.0</v>
      </c>
      <c r="N67" s="52" t="s">
        <v>5050</v>
      </c>
    </row>
    <row r="68">
      <c r="A68" s="52">
        <v>69.0</v>
      </c>
      <c r="B68" s="52" t="s">
        <v>4906</v>
      </c>
      <c r="C68" s="52">
        <v>2.0251300028703E13</v>
      </c>
      <c r="D68" s="52" t="s">
        <v>5051</v>
      </c>
      <c r="E68" s="52" t="s">
        <v>505</v>
      </c>
      <c r="F68" s="69">
        <v>45782.0</v>
      </c>
      <c r="G68" s="52" t="s">
        <v>3917</v>
      </c>
      <c r="H68" s="52">
        <v>7183875.0</v>
      </c>
      <c r="I68" s="52" t="s">
        <v>4002</v>
      </c>
      <c r="J68" s="52" t="s">
        <v>509</v>
      </c>
      <c r="K68" s="52" t="s">
        <v>134</v>
      </c>
      <c r="L68" s="52">
        <v>1.41513025E8</v>
      </c>
      <c r="M68" s="113">
        <v>45785.0</v>
      </c>
      <c r="N68" s="52" t="s">
        <v>5052</v>
      </c>
    </row>
    <row r="69">
      <c r="A69" s="52">
        <v>70.0</v>
      </c>
      <c r="B69" s="52" t="s">
        <v>4906</v>
      </c>
      <c r="C69" s="52">
        <v>2.0251010028723E13</v>
      </c>
      <c r="D69" s="52" t="s">
        <v>5053</v>
      </c>
      <c r="E69" s="52" t="s">
        <v>1061</v>
      </c>
      <c r="F69" s="69">
        <v>45782.0</v>
      </c>
      <c r="G69" s="52" t="s">
        <v>3917</v>
      </c>
      <c r="H69" s="52">
        <v>1.010233207E9</v>
      </c>
      <c r="I69" s="52" t="s">
        <v>4249</v>
      </c>
      <c r="J69" s="52" t="s">
        <v>5054</v>
      </c>
      <c r="K69" s="52" t="s">
        <v>4922</v>
      </c>
      <c r="L69" s="52">
        <v>1.41522425E8</v>
      </c>
      <c r="M69" s="113">
        <v>45785.0</v>
      </c>
      <c r="N69" s="52" t="s">
        <v>5035</v>
      </c>
    </row>
    <row r="70">
      <c r="A70" s="52">
        <v>71.0</v>
      </c>
      <c r="B70" s="52" t="s">
        <v>4906</v>
      </c>
      <c r="C70" s="52">
        <v>2.0251000028753E13</v>
      </c>
      <c r="D70" s="52" t="s">
        <v>5055</v>
      </c>
      <c r="E70" s="52" t="s">
        <v>1279</v>
      </c>
      <c r="F70" s="69">
        <v>45782.0</v>
      </c>
      <c r="G70" s="52" t="s">
        <v>3917</v>
      </c>
      <c r="H70" s="52">
        <v>1.088259482E9</v>
      </c>
      <c r="I70" s="52" t="s">
        <v>5056</v>
      </c>
      <c r="J70" s="52" t="s">
        <v>2663</v>
      </c>
      <c r="K70" s="52" t="s">
        <v>4947</v>
      </c>
      <c r="L70" s="52">
        <v>1.43819725E8</v>
      </c>
      <c r="M70" s="113">
        <v>45786.0</v>
      </c>
      <c r="N70" s="52" t="s">
        <v>5057</v>
      </c>
    </row>
    <row r="71">
      <c r="A71" s="52">
        <v>72.0</v>
      </c>
      <c r="B71" s="52" t="s">
        <v>4906</v>
      </c>
      <c r="C71" s="52">
        <v>2.0251130028713E13</v>
      </c>
      <c r="D71" s="52" t="s">
        <v>5058</v>
      </c>
      <c r="E71" s="52" t="s">
        <v>1109</v>
      </c>
      <c r="F71" s="69">
        <v>45782.0</v>
      </c>
      <c r="G71" s="52" t="s">
        <v>3917</v>
      </c>
      <c r="H71" s="52">
        <v>5.3009738E7</v>
      </c>
      <c r="I71" s="52" t="s">
        <v>4474</v>
      </c>
      <c r="J71" s="52" t="s">
        <v>274</v>
      </c>
      <c r="K71" s="52" t="s">
        <v>4914</v>
      </c>
      <c r="L71" s="52">
        <v>1.41584525E8</v>
      </c>
      <c r="M71" s="113">
        <v>45785.0</v>
      </c>
      <c r="N71" s="52" t="s">
        <v>5059</v>
      </c>
    </row>
    <row r="72">
      <c r="A72" s="52">
        <v>73.0</v>
      </c>
      <c r="B72" s="52" t="s">
        <v>4906</v>
      </c>
      <c r="C72" s="52">
        <v>2.0251610028253E13</v>
      </c>
      <c r="D72" s="52" t="s">
        <v>5060</v>
      </c>
      <c r="E72" s="52" t="s">
        <v>166</v>
      </c>
      <c r="F72" s="69">
        <v>45782.0</v>
      </c>
      <c r="G72" s="52" t="s">
        <v>3917</v>
      </c>
      <c r="H72" s="52">
        <v>1.026586964E9</v>
      </c>
      <c r="I72" s="52" t="s">
        <v>4028</v>
      </c>
      <c r="J72" s="52" t="s">
        <v>170</v>
      </c>
      <c r="K72" s="52" t="s">
        <v>4938</v>
      </c>
      <c r="L72" s="52">
        <v>1.53009025E8</v>
      </c>
      <c r="M72" s="113">
        <v>45793.0</v>
      </c>
      <c r="N72" s="52" t="s">
        <v>5061</v>
      </c>
    </row>
    <row r="73">
      <c r="A73" s="52">
        <v>74.0</v>
      </c>
      <c r="B73" s="52" t="s">
        <v>4906</v>
      </c>
      <c r="C73" s="52">
        <v>2.0251130028733E13</v>
      </c>
      <c r="D73" s="52" t="s">
        <v>5062</v>
      </c>
      <c r="E73" s="52" t="s">
        <v>270</v>
      </c>
      <c r="F73" s="69">
        <v>45782.0</v>
      </c>
      <c r="G73" s="52" t="s">
        <v>3917</v>
      </c>
      <c r="H73" s="52">
        <v>1.110550504E9</v>
      </c>
      <c r="I73" s="52" t="s">
        <v>4066</v>
      </c>
      <c r="J73" s="52" t="s">
        <v>274</v>
      </c>
      <c r="K73" s="52" t="s">
        <v>4914</v>
      </c>
      <c r="L73" s="52">
        <v>1.36414725E8</v>
      </c>
      <c r="M73" s="113">
        <v>45783.0</v>
      </c>
      <c r="N73" s="52" t="s">
        <v>5063</v>
      </c>
    </row>
    <row r="74">
      <c r="A74" s="52">
        <v>75.0</v>
      </c>
      <c r="B74" s="52" t="s">
        <v>4906</v>
      </c>
      <c r="C74" s="52">
        <v>2.0251140028743E13</v>
      </c>
      <c r="D74" s="52" t="s">
        <v>5064</v>
      </c>
      <c r="E74" s="52" t="s">
        <v>63</v>
      </c>
      <c r="F74" s="69">
        <v>45782.0</v>
      </c>
      <c r="G74" s="52" t="s">
        <v>3917</v>
      </c>
      <c r="H74" s="52">
        <v>1.019094411E9</v>
      </c>
      <c r="I74" s="52" t="s">
        <v>3932</v>
      </c>
      <c r="J74" s="52" t="s">
        <v>4659</v>
      </c>
      <c r="K74" s="52" t="s">
        <v>4914</v>
      </c>
      <c r="L74" s="52">
        <v>1.39272425E8</v>
      </c>
      <c r="M74" s="113">
        <v>45784.0</v>
      </c>
      <c r="N74" s="52" t="s">
        <v>5026</v>
      </c>
    </row>
    <row r="75">
      <c r="A75" s="52">
        <v>76.0</v>
      </c>
      <c r="B75" s="52" t="s">
        <v>4906</v>
      </c>
      <c r="C75" s="52">
        <v>2.0251610028813E13</v>
      </c>
      <c r="D75" s="52" t="s">
        <v>5065</v>
      </c>
      <c r="E75" s="52" t="s">
        <v>5066</v>
      </c>
      <c r="F75" s="69">
        <v>45782.0</v>
      </c>
      <c r="G75" s="52" t="s">
        <v>3917</v>
      </c>
      <c r="H75" s="52">
        <v>5.2866537E7</v>
      </c>
      <c r="I75" s="52" t="s">
        <v>4020</v>
      </c>
      <c r="J75" s="52" t="s">
        <v>318</v>
      </c>
      <c r="K75" s="52" t="s">
        <v>4938</v>
      </c>
      <c r="L75" s="52">
        <v>1.36417625E8</v>
      </c>
      <c r="M75" s="113">
        <v>45783.0</v>
      </c>
      <c r="N75" s="52" t="s">
        <v>5067</v>
      </c>
    </row>
    <row r="76">
      <c r="A76" s="52">
        <v>77.0</v>
      </c>
      <c r="B76" s="52" t="s">
        <v>4906</v>
      </c>
      <c r="C76" s="52">
        <v>2.0251610028823E13</v>
      </c>
      <c r="D76" s="52" t="s">
        <v>5068</v>
      </c>
      <c r="E76" s="52" t="s">
        <v>353</v>
      </c>
      <c r="F76" s="69">
        <v>45782.0</v>
      </c>
      <c r="G76" s="52" t="s">
        <v>3917</v>
      </c>
      <c r="H76" s="52">
        <v>1.018453844E9</v>
      </c>
      <c r="I76" s="52" t="s">
        <v>4017</v>
      </c>
      <c r="J76" s="52" t="s">
        <v>318</v>
      </c>
      <c r="K76" s="52" t="s">
        <v>4938</v>
      </c>
      <c r="L76" s="52">
        <v>1.36432425E8</v>
      </c>
      <c r="M76" s="113">
        <v>45783.0</v>
      </c>
      <c r="N76" s="52" t="s">
        <v>5067</v>
      </c>
    </row>
    <row r="77">
      <c r="A77" s="52">
        <v>78.0</v>
      </c>
      <c r="B77" s="52" t="s">
        <v>4906</v>
      </c>
      <c r="C77" s="52">
        <v>2.0251020028843E13</v>
      </c>
      <c r="D77" s="52" t="s">
        <v>5069</v>
      </c>
      <c r="E77" s="52" t="s">
        <v>2821</v>
      </c>
      <c r="F77" s="69">
        <v>45782.0</v>
      </c>
      <c r="G77" s="52" t="s">
        <v>3917</v>
      </c>
      <c r="H77" s="52">
        <v>1.04962724E9</v>
      </c>
      <c r="I77" s="52" t="s">
        <v>4176</v>
      </c>
      <c r="J77" s="52" t="s">
        <v>4319</v>
      </c>
      <c r="K77" s="52" t="s">
        <v>4976</v>
      </c>
      <c r="L77" s="52">
        <v>1.36467725E8</v>
      </c>
      <c r="M77" s="113">
        <v>45783.0</v>
      </c>
      <c r="N77" s="52" t="s">
        <v>5070</v>
      </c>
    </row>
    <row r="78">
      <c r="A78" s="52">
        <v>79.0</v>
      </c>
      <c r="B78" s="52" t="s">
        <v>4906</v>
      </c>
      <c r="C78" s="52">
        <v>2.0251610028793E13</v>
      </c>
      <c r="D78" s="52" t="s">
        <v>5071</v>
      </c>
      <c r="E78" s="52" t="s">
        <v>562</v>
      </c>
      <c r="F78" s="69">
        <v>45782.0</v>
      </c>
      <c r="G78" s="52" t="s">
        <v>3917</v>
      </c>
      <c r="H78" s="52">
        <v>1.144099527E9</v>
      </c>
      <c r="I78" s="52" t="s">
        <v>4015</v>
      </c>
      <c r="J78" s="52" t="s">
        <v>561</v>
      </c>
      <c r="K78" s="52" t="s">
        <v>4938</v>
      </c>
      <c r="L78" s="52">
        <v>1.53016625E8</v>
      </c>
      <c r="M78" s="113">
        <v>45793.0</v>
      </c>
      <c r="N78" s="52" t="s">
        <v>5061</v>
      </c>
    </row>
    <row r="79">
      <c r="A79" s="52">
        <v>80.0</v>
      </c>
      <c r="B79" s="52" t="s">
        <v>4906</v>
      </c>
      <c r="C79" s="52">
        <v>2.0251610028803E13</v>
      </c>
      <c r="D79" s="52" t="s">
        <v>5072</v>
      </c>
      <c r="E79" s="52" t="s">
        <v>775</v>
      </c>
      <c r="F79" s="69">
        <v>45782.0</v>
      </c>
      <c r="G79" s="52" t="s">
        <v>3917</v>
      </c>
      <c r="H79" s="52">
        <v>1.053826184E9</v>
      </c>
      <c r="I79" s="52" t="s">
        <v>4323</v>
      </c>
      <c r="J79" s="52" t="s">
        <v>561</v>
      </c>
      <c r="K79" s="52" t="s">
        <v>4938</v>
      </c>
      <c r="L79" s="52">
        <v>1.53020125E8</v>
      </c>
      <c r="M79" s="113">
        <v>45793.0</v>
      </c>
      <c r="N79" s="52" t="s">
        <v>5073</v>
      </c>
    </row>
    <row r="80">
      <c r="A80" s="52">
        <v>81.0</v>
      </c>
      <c r="B80" s="52" t="s">
        <v>4906</v>
      </c>
      <c r="C80" s="52">
        <v>2.0251010028833E13</v>
      </c>
      <c r="D80" s="52" t="s">
        <v>5074</v>
      </c>
      <c r="E80" s="52" t="s">
        <v>5075</v>
      </c>
      <c r="F80" s="69">
        <v>45782.0</v>
      </c>
      <c r="G80" s="52" t="s">
        <v>3917</v>
      </c>
      <c r="H80" s="52">
        <v>1.019060968E9</v>
      </c>
      <c r="I80" s="52" t="s">
        <v>5076</v>
      </c>
      <c r="J80" s="52" t="s">
        <v>3649</v>
      </c>
      <c r="K80" s="52" t="s">
        <v>4922</v>
      </c>
      <c r="L80" s="52">
        <v>1.41535125E8</v>
      </c>
      <c r="M80" s="113">
        <v>45785.0</v>
      </c>
      <c r="N80" s="52" t="s">
        <v>4936</v>
      </c>
    </row>
    <row r="81">
      <c r="A81" s="52">
        <v>82.0</v>
      </c>
      <c r="B81" s="52" t="s">
        <v>4906</v>
      </c>
      <c r="C81" s="52">
        <v>2.0251020028853E13</v>
      </c>
      <c r="D81" s="52" t="s">
        <v>5077</v>
      </c>
      <c r="E81" s="52" t="s">
        <v>1017</v>
      </c>
      <c r="F81" s="69">
        <v>45782.0</v>
      </c>
      <c r="G81" s="52" t="s">
        <v>3917</v>
      </c>
      <c r="H81" s="52">
        <v>1.01023574E9</v>
      </c>
      <c r="I81" s="52" t="s">
        <v>4491</v>
      </c>
      <c r="J81" s="52" t="s">
        <v>4319</v>
      </c>
      <c r="K81" s="52" t="s">
        <v>4976</v>
      </c>
      <c r="L81" s="52">
        <v>1.41546825E8</v>
      </c>
      <c r="M81" s="113">
        <v>45785.0</v>
      </c>
      <c r="N81" s="52" t="s">
        <v>5078</v>
      </c>
    </row>
    <row r="82">
      <c r="A82" s="52">
        <v>83.0</v>
      </c>
      <c r="B82" s="52" t="s">
        <v>4906</v>
      </c>
      <c r="C82" s="52">
        <v>2.0251300028863E13</v>
      </c>
      <c r="D82" s="52" t="s">
        <v>5079</v>
      </c>
      <c r="E82" s="52" t="s">
        <v>501</v>
      </c>
      <c r="F82" s="69">
        <v>45782.0</v>
      </c>
      <c r="G82" s="52" t="s">
        <v>3917</v>
      </c>
      <c r="H82" s="52">
        <v>1.070954996E9</v>
      </c>
      <c r="I82" s="52" t="s">
        <v>4091</v>
      </c>
      <c r="J82" s="52" t="s">
        <v>438</v>
      </c>
      <c r="K82" s="52" t="s">
        <v>134</v>
      </c>
      <c r="L82" s="52">
        <v>1.41544625E8</v>
      </c>
      <c r="M82" s="113">
        <v>45785.0</v>
      </c>
      <c r="N82" s="52" t="s">
        <v>5080</v>
      </c>
    </row>
    <row r="83">
      <c r="A83" s="52">
        <v>84.0</v>
      </c>
      <c r="B83" s="52" t="s">
        <v>4906</v>
      </c>
      <c r="C83" s="52">
        <v>2.0251140028873E13</v>
      </c>
      <c r="D83" s="52" t="s">
        <v>5081</v>
      </c>
      <c r="E83" s="52" t="s">
        <v>54</v>
      </c>
      <c r="F83" s="69">
        <v>45782.0</v>
      </c>
      <c r="G83" s="52" t="s">
        <v>3917</v>
      </c>
      <c r="H83" s="52">
        <v>1.082863101E9</v>
      </c>
      <c r="I83" s="52" t="s">
        <v>4208</v>
      </c>
      <c r="J83" s="52" t="s">
        <v>4209</v>
      </c>
      <c r="K83" s="52" t="s">
        <v>4976</v>
      </c>
      <c r="L83" s="52">
        <v>1.41552025E8</v>
      </c>
      <c r="M83" s="113">
        <v>45785.0</v>
      </c>
      <c r="N83" s="52" t="s">
        <v>5026</v>
      </c>
    </row>
    <row r="84">
      <c r="A84" s="52">
        <v>85.0</v>
      </c>
      <c r="B84" s="52" t="s">
        <v>4906</v>
      </c>
      <c r="C84" s="52">
        <v>2.0251020028883E13</v>
      </c>
      <c r="D84" s="52" t="s">
        <v>5082</v>
      </c>
      <c r="E84" s="52" t="s">
        <v>5083</v>
      </c>
      <c r="F84" s="69">
        <v>45782.0</v>
      </c>
      <c r="G84" s="52" t="s">
        <v>3917</v>
      </c>
      <c r="H84" s="52">
        <v>1.016081819E9</v>
      </c>
      <c r="I84" s="52" t="s">
        <v>3949</v>
      </c>
      <c r="J84" s="52" t="s">
        <v>4703</v>
      </c>
      <c r="K84" s="52" t="s">
        <v>4976</v>
      </c>
      <c r="L84" s="52">
        <v>1.41576825E8</v>
      </c>
      <c r="M84" s="113">
        <v>45785.0</v>
      </c>
      <c r="N84" s="52" t="s">
        <v>5067</v>
      </c>
    </row>
    <row r="85">
      <c r="A85" s="52">
        <v>86.0</v>
      </c>
      <c r="B85" s="52" t="s">
        <v>4906</v>
      </c>
      <c r="C85" s="52">
        <v>2.0251610028903E13</v>
      </c>
      <c r="D85" s="52" t="s">
        <v>5084</v>
      </c>
      <c r="E85" s="52" t="s">
        <v>314</v>
      </c>
      <c r="F85" s="69">
        <v>45782.0</v>
      </c>
      <c r="G85" s="52" t="s">
        <v>3917</v>
      </c>
      <c r="H85" s="52">
        <v>1.019009968E9</v>
      </c>
      <c r="I85" s="52" t="s">
        <v>4036</v>
      </c>
      <c r="J85" s="52" t="s">
        <v>318</v>
      </c>
      <c r="K85" s="52" t="s">
        <v>4938</v>
      </c>
      <c r="L85" s="52">
        <v>1.41596225E8</v>
      </c>
      <c r="M85" s="113">
        <v>45785.0</v>
      </c>
      <c r="N85" s="52" t="s">
        <v>5085</v>
      </c>
    </row>
    <row r="86">
      <c r="A86" s="52">
        <v>87.0</v>
      </c>
      <c r="B86" s="52" t="s">
        <v>4906</v>
      </c>
      <c r="C86" s="52">
        <v>2.0251700028953E13</v>
      </c>
      <c r="D86" s="52" t="s">
        <v>5086</v>
      </c>
      <c r="E86" s="52" t="s">
        <v>5087</v>
      </c>
      <c r="F86" s="69">
        <v>45782.0</v>
      </c>
      <c r="G86" s="52" t="s">
        <v>3917</v>
      </c>
      <c r="H86" s="52">
        <v>5.2016453E7</v>
      </c>
      <c r="I86" s="52" t="s">
        <v>4371</v>
      </c>
      <c r="J86" s="52" t="s">
        <v>4372</v>
      </c>
      <c r="K86" s="52" t="s">
        <v>4932</v>
      </c>
      <c r="L86" s="52" t="s">
        <v>5088</v>
      </c>
      <c r="M86" s="113">
        <v>45789.0</v>
      </c>
      <c r="N86" s="52" t="s">
        <v>5089</v>
      </c>
    </row>
    <row r="87">
      <c r="A87" s="52">
        <v>88.0</v>
      </c>
      <c r="B87" s="52" t="s">
        <v>4906</v>
      </c>
      <c r="C87" s="52">
        <v>2.0251700028963E13</v>
      </c>
      <c r="D87" s="52" t="s">
        <v>5090</v>
      </c>
      <c r="E87" s="52" t="s">
        <v>5091</v>
      </c>
      <c r="F87" s="69">
        <v>45782.0</v>
      </c>
      <c r="G87" s="52" t="s">
        <v>3917</v>
      </c>
      <c r="H87" s="52">
        <v>1.128431532E9</v>
      </c>
      <c r="I87" s="52" t="s">
        <v>4374</v>
      </c>
      <c r="J87" s="52" t="s">
        <v>4372</v>
      </c>
      <c r="K87" s="52" t="s">
        <v>4932</v>
      </c>
      <c r="L87" s="52">
        <v>1.41684125E8</v>
      </c>
      <c r="M87" s="113">
        <v>45785.0</v>
      </c>
      <c r="N87" s="52" t="s">
        <v>5052</v>
      </c>
    </row>
    <row r="88">
      <c r="A88" s="52">
        <v>89.0</v>
      </c>
      <c r="B88" s="52" t="s">
        <v>4906</v>
      </c>
      <c r="C88" s="52">
        <v>2.0251000028973E13</v>
      </c>
      <c r="D88" s="52" t="s">
        <v>5092</v>
      </c>
      <c r="E88" s="52" t="s">
        <v>1096</v>
      </c>
      <c r="F88" s="69">
        <v>45782.0</v>
      </c>
      <c r="G88" s="52" t="s">
        <v>3917</v>
      </c>
      <c r="H88" s="52">
        <v>5.3176483E7</v>
      </c>
      <c r="I88" s="52" t="s">
        <v>4513</v>
      </c>
      <c r="J88" s="52" t="s">
        <v>2663</v>
      </c>
      <c r="K88" s="52" t="s">
        <v>4947</v>
      </c>
      <c r="L88" s="52">
        <v>1.43743425E8</v>
      </c>
      <c r="M88" s="113">
        <v>45786.0</v>
      </c>
      <c r="N88" s="52" t="s">
        <v>4952</v>
      </c>
    </row>
    <row r="89">
      <c r="A89" s="52">
        <v>90.0</v>
      </c>
      <c r="B89" s="52" t="s">
        <v>4906</v>
      </c>
      <c r="C89" s="52">
        <v>2.0251020028993E13</v>
      </c>
      <c r="D89" s="52" t="s">
        <v>5093</v>
      </c>
      <c r="E89" s="52" t="s">
        <v>2828</v>
      </c>
      <c r="F89" s="69">
        <v>45782.0</v>
      </c>
      <c r="G89" s="52" t="s">
        <v>3917</v>
      </c>
      <c r="H89" s="52">
        <v>5.2382217E7</v>
      </c>
      <c r="I89" s="52" t="s">
        <v>4174</v>
      </c>
      <c r="J89" s="52" t="s">
        <v>4319</v>
      </c>
      <c r="K89" s="52" t="s">
        <v>4976</v>
      </c>
      <c r="L89" s="52">
        <v>1.41651725E8</v>
      </c>
      <c r="M89" s="113">
        <v>45785.0</v>
      </c>
      <c r="N89" s="52" t="s">
        <v>5094</v>
      </c>
    </row>
    <row r="90">
      <c r="A90" s="52">
        <v>91.0</v>
      </c>
      <c r="B90" s="52" t="s">
        <v>4906</v>
      </c>
      <c r="C90" s="52">
        <v>2.0251000028983E13</v>
      </c>
      <c r="D90" s="52" t="s">
        <v>5095</v>
      </c>
      <c r="E90" s="52" t="s">
        <v>1100</v>
      </c>
      <c r="F90" s="69">
        <v>45782.0</v>
      </c>
      <c r="G90" s="52" t="s">
        <v>3917</v>
      </c>
      <c r="H90" s="52">
        <v>2.5221017E7</v>
      </c>
      <c r="I90" s="52" t="s">
        <v>4595</v>
      </c>
      <c r="J90" s="52" t="s">
        <v>2663</v>
      </c>
      <c r="K90" s="52" t="s">
        <v>4947</v>
      </c>
      <c r="L90" s="52">
        <v>1.47102525E8</v>
      </c>
      <c r="M90" s="113">
        <v>45789.0</v>
      </c>
      <c r="N90" s="52" t="s">
        <v>5052</v>
      </c>
    </row>
    <row r="91">
      <c r="A91" s="52">
        <v>92.0</v>
      </c>
      <c r="B91" s="52" t="s">
        <v>4906</v>
      </c>
      <c r="C91" s="52">
        <v>2.0251000067431E13</v>
      </c>
      <c r="D91" s="52" t="s">
        <v>5096</v>
      </c>
      <c r="E91" s="52" t="s">
        <v>224</v>
      </c>
      <c r="F91" s="69">
        <v>45782.0</v>
      </c>
      <c r="G91" s="52" t="s">
        <v>3917</v>
      </c>
      <c r="H91" s="52">
        <v>1.073512831E9</v>
      </c>
      <c r="I91" s="52" t="s">
        <v>3930</v>
      </c>
      <c r="J91" s="52" t="s">
        <v>1397</v>
      </c>
      <c r="K91" s="52" t="s">
        <v>4954</v>
      </c>
      <c r="L91" s="52">
        <v>1.43689125E8</v>
      </c>
      <c r="M91" s="113">
        <v>45786.0</v>
      </c>
      <c r="N91" s="52" t="s">
        <v>5097</v>
      </c>
    </row>
    <row r="92">
      <c r="A92" s="52">
        <v>93.0</v>
      </c>
      <c r="B92" s="52" t="s">
        <v>4906</v>
      </c>
      <c r="C92" s="52">
        <v>2.0251100029003E13</v>
      </c>
      <c r="D92" s="52" t="s">
        <v>5098</v>
      </c>
      <c r="E92" s="52" t="s">
        <v>280</v>
      </c>
      <c r="F92" s="69">
        <v>45782.0</v>
      </c>
      <c r="G92" s="52" t="s">
        <v>3944</v>
      </c>
      <c r="H92" s="52">
        <v>202634.0</v>
      </c>
      <c r="I92" s="52" t="s">
        <v>3993</v>
      </c>
      <c r="J92" s="52" t="s">
        <v>400</v>
      </c>
      <c r="K92" s="52" t="s">
        <v>4947</v>
      </c>
      <c r="L92" s="52">
        <v>1.36465825E8</v>
      </c>
      <c r="M92" s="113">
        <v>45783.0</v>
      </c>
      <c r="N92" s="52" t="s">
        <v>4952</v>
      </c>
    </row>
    <row r="93">
      <c r="A93" s="52">
        <v>94.0</v>
      </c>
      <c r="B93" s="52" t="s">
        <v>4906</v>
      </c>
      <c r="C93" s="52">
        <v>2.0251000029013E13</v>
      </c>
      <c r="D93" s="52" t="s">
        <v>5099</v>
      </c>
      <c r="E93" s="52" t="s">
        <v>1053</v>
      </c>
      <c r="F93" s="69">
        <v>45782.0</v>
      </c>
      <c r="G93" s="52" t="s">
        <v>3917</v>
      </c>
      <c r="H93" s="52">
        <v>1.070969778E9</v>
      </c>
      <c r="I93" s="52" t="s">
        <v>4520</v>
      </c>
      <c r="J93" s="52" t="s">
        <v>2663</v>
      </c>
      <c r="K93" s="52" t="s">
        <v>4947</v>
      </c>
      <c r="L93" s="52">
        <v>1.48190125E8</v>
      </c>
      <c r="M93" s="113">
        <v>45790.0</v>
      </c>
      <c r="N93" s="52" t="s">
        <v>5026</v>
      </c>
    </row>
    <row r="94">
      <c r="A94" s="52">
        <v>95.0</v>
      </c>
      <c r="B94" s="52" t="s">
        <v>4906</v>
      </c>
      <c r="C94" s="52">
        <v>2.0251900029023E13</v>
      </c>
      <c r="D94" s="52" t="s">
        <v>5100</v>
      </c>
      <c r="E94" s="52" t="s">
        <v>243</v>
      </c>
      <c r="F94" s="69">
        <v>45782.0</v>
      </c>
      <c r="G94" s="52" t="s">
        <v>3917</v>
      </c>
      <c r="H94" s="52">
        <v>2.8061081E7</v>
      </c>
      <c r="I94" s="52" t="s">
        <v>4164</v>
      </c>
      <c r="J94" s="52" t="s">
        <v>222</v>
      </c>
      <c r="K94" s="52" t="s">
        <v>4908</v>
      </c>
      <c r="L94" s="52">
        <v>1.36465025E8</v>
      </c>
      <c r="M94" s="113">
        <v>45783.0</v>
      </c>
      <c r="N94" s="52" t="s">
        <v>5101</v>
      </c>
    </row>
    <row r="95">
      <c r="A95" s="52">
        <v>96.0</v>
      </c>
      <c r="B95" s="52" t="s">
        <v>4906</v>
      </c>
      <c r="C95" s="52">
        <v>2.0251000029033E13</v>
      </c>
      <c r="D95" s="52" t="s">
        <v>5102</v>
      </c>
      <c r="E95" s="52" t="s">
        <v>101</v>
      </c>
      <c r="F95" s="69">
        <v>45782.0</v>
      </c>
      <c r="G95" s="52" t="s">
        <v>3917</v>
      </c>
      <c r="H95" s="52">
        <v>1.016013668E9</v>
      </c>
      <c r="I95" s="52" t="s">
        <v>4071</v>
      </c>
      <c r="J95" s="52" t="s">
        <v>2663</v>
      </c>
      <c r="K95" s="52" t="s">
        <v>4947</v>
      </c>
      <c r="L95" s="52">
        <v>1.41604025E8</v>
      </c>
      <c r="M95" s="113">
        <v>45785.0</v>
      </c>
      <c r="N95" s="52" t="s">
        <v>5052</v>
      </c>
    </row>
    <row r="96">
      <c r="A96" s="52">
        <v>97.0</v>
      </c>
      <c r="B96" s="52" t="s">
        <v>4906</v>
      </c>
      <c r="C96" s="52">
        <v>2.0251000029043E13</v>
      </c>
      <c r="D96" s="52" t="s">
        <v>5103</v>
      </c>
      <c r="E96" s="52" t="s">
        <v>1173</v>
      </c>
      <c r="F96" s="69">
        <v>45782.0</v>
      </c>
      <c r="G96" s="52" t="s">
        <v>3917</v>
      </c>
      <c r="H96" s="52">
        <v>8.0770951E7</v>
      </c>
      <c r="I96" s="52" t="s">
        <v>4898</v>
      </c>
      <c r="J96" s="52" t="s">
        <v>2663</v>
      </c>
      <c r="K96" s="52" t="s">
        <v>4947</v>
      </c>
      <c r="L96" s="52">
        <v>1.41610525E8</v>
      </c>
      <c r="M96" s="113">
        <v>45785.0</v>
      </c>
      <c r="N96" s="52" t="s">
        <v>5104</v>
      </c>
    </row>
    <row r="97">
      <c r="A97" s="52">
        <v>98.0</v>
      </c>
      <c r="B97" s="52" t="s">
        <v>4906</v>
      </c>
      <c r="C97" s="52">
        <v>2.0251000029053E13</v>
      </c>
      <c r="D97" s="52" t="s">
        <v>5105</v>
      </c>
      <c r="E97" s="52" t="s">
        <v>1303</v>
      </c>
      <c r="F97" s="69">
        <v>45782.0</v>
      </c>
      <c r="G97" s="52" t="s">
        <v>3917</v>
      </c>
      <c r="H97" s="52">
        <v>1.12841675E9</v>
      </c>
      <c r="I97" s="52" t="s">
        <v>5106</v>
      </c>
      <c r="J97" s="52" t="s">
        <v>2663</v>
      </c>
      <c r="K97" s="52" t="s">
        <v>4947</v>
      </c>
      <c r="L97" s="52">
        <v>1.41666925E8</v>
      </c>
      <c r="M97" s="113">
        <v>45785.0</v>
      </c>
      <c r="N97" s="52" t="s">
        <v>5107</v>
      </c>
    </row>
    <row r="98">
      <c r="A98" s="52">
        <v>99.0</v>
      </c>
      <c r="B98" s="52" t="s">
        <v>4906</v>
      </c>
      <c r="C98" s="52">
        <v>2.0251000029063E13</v>
      </c>
      <c r="D98" s="52" t="s">
        <v>5108</v>
      </c>
      <c r="E98" s="52" t="s">
        <v>4068</v>
      </c>
      <c r="F98" s="69">
        <v>45782.0</v>
      </c>
      <c r="G98" s="52" t="s">
        <v>3917</v>
      </c>
      <c r="H98" s="52">
        <v>1.037608001E9</v>
      </c>
      <c r="I98" s="52" t="s">
        <v>4069</v>
      </c>
      <c r="J98" s="52" t="s">
        <v>2663</v>
      </c>
      <c r="K98" s="52" t="s">
        <v>4947</v>
      </c>
      <c r="L98" s="52">
        <v>1.41527425E8</v>
      </c>
      <c r="M98" s="113">
        <v>45785.0</v>
      </c>
      <c r="N98" s="52" t="s">
        <v>5109</v>
      </c>
    </row>
    <row r="99">
      <c r="A99" s="52">
        <v>100.0</v>
      </c>
      <c r="B99" s="52" t="s">
        <v>4906</v>
      </c>
      <c r="C99" s="52">
        <v>2.0251000029073E13</v>
      </c>
      <c r="D99" s="52" t="s">
        <v>5110</v>
      </c>
      <c r="E99" s="52" t="s">
        <v>795</v>
      </c>
      <c r="F99" s="69">
        <v>45782.0</v>
      </c>
      <c r="G99" s="52" t="s">
        <v>3917</v>
      </c>
      <c r="H99" s="52">
        <v>4517491.0</v>
      </c>
      <c r="I99" s="52" t="s">
        <v>4517</v>
      </c>
      <c r="J99" s="52" t="s">
        <v>2663</v>
      </c>
      <c r="K99" s="52" t="s">
        <v>4947</v>
      </c>
      <c r="L99" s="52">
        <v>1.43734325E8</v>
      </c>
      <c r="M99" s="113">
        <v>45786.0</v>
      </c>
      <c r="N99" s="52" t="s">
        <v>5026</v>
      </c>
    </row>
    <row r="100">
      <c r="A100" s="52">
        <v>101.0</v>
      </c>
      <c r="B100" s="52" t="s">
        <v>4906</v>
      </c>
      <c r="C100" s="52">
        <v>2.0251130029133E13</v>
      </c>
      <c r="D100" s="52" t="s">
        <v>5111</v>
      </c>
      <c r="E100" s="52" t="s">
        <v>303</v>
      </c>
      <c r="F100" s="69">
        <v>45782.0</v>
      </c>
      <c r="G100" s="52" t="s">
        <v>3917</v>
      </c>
      <c r="H100" s="52">
        <v>5.2713391E7</v>
      </c>
      <c r="I100" s="52" t="s">
        <v>3987</v>
      </c>
      <c r="J100" s="52" t="s">
        <v>4725</v>
      </c>
      <c r="K100" s="52" t="s">
        <v>4914</v>
      </c>
      <c r="L100" s="52">
        <v>1.43708525E8</v>
      </c>
      <c r="M100" s="113">
        <v>45786.0</v>
      </c>
      <c r="N100" s="52" t="s">
        <v>5112</v>
      </c>
    </row>
    <row r="101">
      <c r="A101" s="52">
        <v>102.0</v>
      </c>
      <c r="B101" s="52" t="s">
        <v>4906</v>
      </c>
      <c r="C101" s="52">
        <v>2.0251400029143E13</v>
      </c>
      <c r="D101" s="52" t="s">
        <v>5113</v>
      </c>
      <c r="E101" s="52" t="s">
        <v>1118</v>
      </c>
      <c r="F101" s="69">
        <v>45782.0</v>
      </c>
      <c r="G101" s="52" t="s">
        <v>3917</v>
      </c>
      <c r="H101" s="52">
        <v>1.073519307E9</v>
      </c>
      <c r="I101" s="52" t="s">
        <v>4260</v>
      </c>
      <c r="J101" s="52" t="s">
        <v>112</v>
      </c>
      <c r="K101" s="52" t="s">
        <v>4963</v>
      </c>
      <c r="L101" s="52">
        <v>1.43711925E8</v>
      </c>
      <c r="M101" s="113">
        <v>45786.0</v>
      </c>
      <c r="N101" s="52" t="s">
        <v>5061</v>
      </c>
    </row>
    <row r="102">
      <c r="A102" s="52">
        <v>103.0</v>
      </c>
      <c r="B102" s="52" t="s">
        <v>4906</v>
      </c>
      <c r="C102" s="52">
        <v>2.0251900029153E13</v>
      </c>
      <c r="D102" s="52" t="s">
        <v>5114</v>
      </c>
      <c r="E102" s="52" t="s">
        <v>726</v>
      </c>
      <c r="F102" s="69">
        <v>45782.0</v>
      </c>
      <c r="G102" s="52" t="s">
        <v>3917</v>
      </c>
      <c r="H102" s="52">
        <v>1.032379284E9</v>
      </c>
      <c r="I102" s="52" t="s">
        <v>4602</v>
      </c>
      <c r="J102" s="52" t="s">
        <v>5115</v>
      </c>
      <c r="K102" s="52" t="s">
        <v>5116</v>
      </c>
      <c r="L102" s="52">
        <v>1.43721025E8</v>
      </c>
      <c r="M102" s="113">
        <v>45786.0</v>
      </c>
      <c r="N102" s="52" t="s">
        <v>5117</v>
      </c>
    </row>
    <row r="103">
      <c r="A103" s="52">
        <v>104.0</v>
      </c>
      <c r="B103" s="52" t="s">
        <v>4906</v>
      </c>
      <c r="C103" s="52">
        <v>2.0251500029163E13</v>
      </c>
      <c r="D103" s="52" t="s">
        <v>5118</v>
      </c>
      <c r="E103" s="52" t="s">
        <v>882</v>
      </c>
      <c r="F103" s="69">
        <v>45782.0</v>
      </c>
      <c r="G103" s="52" t="s">
        <v>3917</v>
      </c>
      <c r="H103" s="52">
        <v>1.001185909E9</v>
      </c>
      <c r="I103" s="52" t="s">
        <v>4368</v>
      </c>
      <c r="J103" s="52" t="s">
        <v>966</v>
      </c>
      <c r="K103" s="52" t="s">
        <v>4927</v>
      </c>
      <c r="L103" s="52">
        <v>1.43727025E8</v>
      </c>
      <c r="M103" s="113">
        <v>45786.0</v>
      </c>
      <c r="N103" s="52" t="s">
        <v>5119</v>
      </c>
    </row>
    <row r="104">
      <c r="A104" s="52">
        <v>105.0</v>
      </c>
      <c r="B104" s="52" t="s">
        <v>4906</v>
      </c>
      <c r="C104" s="52">
        <v>2.0251500029193E13</v>
      </c>
      <c r="D104" s="52" t="s">
        <v>5120</v>
      </c>
      <c r="E104" s="52" t="s">
        <v>668</v>
      </c>
      <c r="F104" s="69">
        <v>45782.0</v>
      </c>
      <c r="G104" s="52" t="s">
        <v>3917</v>
      </c>
      <c r="H104" s="52">
        <v>1.032463587E9</v>
      </c>
      <c r="I104" s="52" t="s">
        <v>4314</v>
      </c>
      <c r="J104" s="52" t="s">
        <v>181</v>
      </c>
      <c r="K104" s="52" t="s">
        <v>4927</v>
      </c>
      <c r="L104" s="52">
        <v>1.43724925E8</v>
      </c>
      <c r="M104" s="113">
        <v>45786.0</v>
      </c>
      <c r="N104" s="52" t="s">
        <v>5121</v>
      </c>
    </row>
    <row r="105">
      <c r="A105" s="52">
        <v>106.0</v>
      </c>
      <c r="B105" s="52" t="s">
        <v>4906</v>
      </c>
      <c r="C105" s="52">
        <v>2.0251800029093E13</v>
      </c>
      <c r="D105" s="52" t="s">
        <v>5122</v>
      </c>
      <c r="E105" s="52" t="s">
        <v>454</v>
      </c>
      <c r="F105" s="69">
        <v>45782.0</v>
      </c>
      <c r="G105" s="52" t="s">
        <v>3917</v>
      </c>
      <c r="H105" s="52">
        <v>1.052394906E9</v>
      </c>
      <c r="I105" s="52" t="s">
        <v>4673</v>
      </c>
      <c r="J105" s="52" t="s">
        <v>4283</v>
      </c>
      <c r="K105" s="52" t="s">
        <v>4954</v>
      </c>
      <c r="L105" s="52">
        <v>1.44345925E8</v>
      </c>
      <c r="M105" s="113">
        <v>45786.0</v>
      </c>
      <c r="N105" s="52" t="s">
        <v>5123</v>
      </c>
    </row>
    <row r="106">
      <c r="A106" s="52">
        <v>107.0</v>
      </c>
      <c r="B106" s="52" t="s">
        <v>4906</v>
      </c>
      <c r="C106" s="52">
        <v>2.0251000028613E13</v>
      </c>
      <c r="D106" s="52" t="s">
        <v>5124</v>
      </c>
      <c r="E106" s="52" t="s">
        <v>2866</v>
      </c>
      <c r="F106" s="69">
        <v>45783.0</v>
      </c>
      <c r="G106" s="52" t="s">
        <v>3917</v>
      </c>
      <c r="H106" s="52">
        <v>1.020751785E9</v>
      </c>
      <c r="I106" s="52" t="s">
        <v>4150</v>
      </c>
      <c r="J106" s="52" t="s">
        <v>222</v>
      </c>
      <c r="K106" s="52" t="s">
        <v>4908</v>
      </c>
      <c r="L106" s="52">
        <v>1.39251725E8</v>
      </c>
      <c r="M106" s="113">
        <v>45784.0</v>
      </c>
      <c r="N106" s="52" t="s">
        <v>5026</v>
      </c>
    </row>
    <row r="107">
      <c r="A107" s="52">
        <v>108.0</v>
      </c>
      <c r="B107" s="52" t="s">
        <v>4906</v>
      </c>
      <c r="C107" s="52">
        <v>2.0251900029203E13</v>
      </c>
      <c r="D107" s="52" t="s">
        <v>5125</v>
      </c>
      <c r="E107" s="52" t="s">
        <v>927</v>
      </c>
      <c r="F107" s="69">
        <v>45783.0</v>
      </c>
      <c r="G107" s="52" t="s">
        <v>3917</v>
      </c>
      <c r="H107" s="52">
        <v>1.1433786E9</v>
      </c>
      <c r="I107" s="52" t="s">
        <v>4614</v>
      </c>
      <c r="J107" s="52" t="s">
        <v>222</v>
      </c>
      <c r="K107" s="52" t="s">
        <v>4908</v>
      </c>
      <c r="L107" s="52">
        <v>1.39254725E8</v>
      </c>
      <c r="M107" s="113">
        <v>45784.0</v>
      </c>
      <c r="N107" s="52" t="s">
        <v>4920</v>
      </c>
    </row>
    <row r="108">
      <c r="A108" s="52">
        <v>109.0</v>
      </c>
      <c r="B108" s="52" t="s">
        <v>4906</v>
      </c>
      <c r="C108" s="52">
        <v>2.0251900029213E13</v>
      </c>
      <c r="D108" s="52" t="s">
        <v>5126</v>
      </c>
      <c r="E108" s="52" t="s">
        <v>681</v>
      </c>
      <c r="F108" s="69">
        <v>45783.0</v>
      </c>
      <c r="G108" s="52" t="s">
        <v>3917</v>
      </c>
      <c r="H108" s="52">
        <v>5.2181636E7</v>
      </c>
      <c r="I108" s="52" t="s">
        <v>4418</v>
      </c>
      <c r="J108" s="52" t="s">
        <v>222</v>
      </c>
      <c r="K108" s="52" t="s">
        <v>4908</v>
      </c>
      <c r="L108" s="52">
        <v>1.39261525E8</v>
      </c>
      <c r="M108" s="113">
        <v>45784.0</v>
      </c>
      <c r="N108" s="52" t="s">
        <v>4920</v>
      </c>
    </row>
    <row r="109">
      <c r="A109" s="52">
        <v>110.0</v>
      </c>
      <c r="B109" s="52" t="s">
        <v>4906</v>
      </c>
      <c r="C109" s="52">
        <v>2.0251400029233E13</v>
      </c>
      <c r="D109" s="52" t="s">
        <v>5127</v>
      </c>
      <c r="E109" s="52" t="s">
        <v>299</v>
      </c>
      <c r="F109" s="69">
        <v>45783.0</v>
      </c>
      <c r="G109" s="52" t="s">
        <v>3917</v>
      </c>
      <c r="H109" s="52">
        <v>1.052408723E9</v>
      </c>
      <c r="I109" s="52" t="s">
        <v>3942</v>
      </c>
      <c r="J109" s="52" t="s">
        <v>112</v>
      </c>
      <c r="K109" s="52" t="s">
        <v>4963</v>
      </c>
      <c r="L109" s="52">
        <v>1.41482425E8</v>
      </c>
      <c r="M109" s="113">
        <v>45785.0</v>
      </c>
      <c r="N109" s="52" t="s">
        <v>5128</v>
      </c>
    </row>
    <row r="110">
      <c r="A110" s="52">
        <v>111.0</v>
      </c>
      <c r="B110" s="52" t="s">
        <v>4906</v>
      </c>
      <c r="C110" s="52">
        <v>2.0251300029243E13</v>
      </c>
      <c r="D110" s="52" t="s">
        <v>5129</v>
      </c>
      <c r="E110" s="52" t="s">
        <v>329</v>
      </c>
      <c r="F110" s="69">
        <v>45783.0</v>
      </c>
      <c r="G110" s="52" t="s">
        <v>3917</v>
      </c>
      <c r="H110" s="52">
        <v>1.003691415E9</v>
      </c>
      <c r="I110" s="52" t="s">
        <v>4060</v>
      </c>
      <c r="J110" s="52" t="s">
        <v>5130</v>
      </c>
      <c r="K110" s="52" t="s">
        <v>134</v>
      </c>
      <c r="L110" s="52">
        <v>1.43670325E8</v>
      </c>
      <c r="M110" s="113">
        <v>45786.0</v>
      </c>
      <c r="N110" s="52" t="s">
        <v>5131</v>
      </c>
    </row>
    <row r="111">
      <c r="A111" s="52">
        <v>112.0</v>
      </c>
      <c r="B111" s="52" t="s">
        <v>4906</v>
      </c>
      <c r="C111" s="52">
        <v>2.0251300029253E13</v>
      </c>
      <c r="D111" s="52" t="s">
        <v>5132</v>
      </c>
      <c r="E111" s="52" t="s">
        <v>460</v>
      </c>
      <c r="F111" s="69">
        <v>45783.0</v>
      </c>
      <c r="G111" s="52" t="s">
        <v>3917</v>
      </c>
      <c r="H111" s="52">
        <v>9.323712E7</v>
      </c>
      <c r="I111" s="52" t="s">
        <v>4073</v>
      </c>
      <c r="J111" s="52" t="s">
        <v>5133</v>
      </c>
      <c r="K111" s="52" t="s">
        <v>134</v>
      </c>
      <c r="L111" s="52">
        <v>1.43765425E8</v>
      </c>
      <c r="M111" s="113">
        <v>45786.0</v>
      </c>
      <c r="N111" s="52" t="s">
        <v>4920</v>
      </c>
    </row>
    <row r="112">
      <c r="A112" s="52">
        <v>113.0</v>
      </c>
      <c r="B112" s="52" t="s">
        <v>4906</v>
      </c>
      <c r="C112" s="52">
        <v>2.0251300029263E13</v>
      </c>
      <c r="D112" s="52" t="s">
        <v>5134</v>
      </c>
      <c r="E112" s="52" t="s">
        <v>259</v>
      </c>
      <c r="F112" s="69">
        <v>45783.0</v>
      </c>
      <c r="G112" s="52" t="s">
        <v>3917</v>
      </c>
      <c r="H112" s="52">
        <v>1.070924443E9</v>
      </c>
      <c r="I112" s="52" t="s">
        <v>4062</v>
      </c>
      <c r="J112" s="52" t="s">
        <v>5130</v>
      </c>
      <c r="K112" s="52" t="s">
        <v>134</v>
      </c>
      <c r="L112" s="52">
        <v>1.44452225E8</v>
      </c>
      <c r="M112" s="113">
        <v>45786.0</v>
      </c>
      <c r="N112" s="52" t="s">
        <v>5135</v>
      </c>
    </row>
    <row r="113">
      <c r="A113" s="52">
        <v>114.0</v>
      </c>
      <c r="B113" s="52" t="s">
        <v>4906</v>
      </c>
      <c r="C113" s="52">
        <v>2.0251300029273E13</v>
      </c>
      <c r="D113" s="52" t="s">
        <v>5136</v>
      </c>
      <c r="E113" s="52" t="s">
        <v>439</v>
      </c>
      <c r="F113" s="69">
        <v>45783.0</v>
      </c>
      <c r="G113" s="52" t="s">
        <v>3917</v>
      </c>
      <c r="H113" s="52">
        <v>5.2354579E7</v>
      </c>
      <c r="I113" s="52" t="s">
        <v>4110</v>
      </c>
      <c r="J113" s="52" t="s">
        <v>5130</v>
      </c>
      <c r="K113" s="52" t="s">
        <v>134</v>
      </c>
      <c r="L113" s="52">
        <v>1.43693625E8</v>
      </c>
      <c r="M113" s="113">
        <v>45786.0</v>
      </c>
      <c r="N113" s="52" t="s">
        <v>4909</v>
      </c>
    </row>
    <row r="114">
      <c r="A114" s="52">
        <v>115.0</v>
      </c>
      <c r="B114" s="52" t="s">
        <v>4906</v>
      </c>
      <c r="C114" s="52">
        <v>2.0251140029353E13</v>
      </c>
      <c r="D114" s="52" t="s">
        <v>5137</v>
      </c>
      <c r="E114" s="52" t="s">
        <v>58</v>
      </c>
      <c r="F114" s="69">
        <v>45783.0</v>
      </c>
      <c r="G114" s="52" t="s">
        <v>3917</v>
      </c>
      <c r="H114" s="52">
        <v>1.057582613E9</v>
      </c>
      <c r="I114" s="52" t="s">
        <v>4182</v>
      </c>
      <c r="J114" s="52" t="s">
        <v>40</v>
      </c>
      <c r="K114" s="52" t="s">
        <v>4914</v>
      </c>
      <c r="L114" s="52">
        <v>1.39256025E8</v>
      </c>
      <c r="M114" s="113">
        <v>45784.0</v>
      </c>
      <c r="N114" s="52" t="s">
        <v>4952</v>
      </c>
    </row>
    <row r="115">
      <c r="A115" s="52">
        <v>116.0</v>
      </c>
      <c r="B115" s="52" t="s">
        <v>4906</v>
      </c>
      <c r="C115" s="52">
        <v>2.0251610028263E13</v>
      </c>
      <c r="D115" s="52" t="s">
        <v>5138</v>
      </c>
      <c r="E115" s="52" t="s">
        <v>1021</v>
      </c>
      <c r="F115" s="69">
        <v>45783.0</v>
      </c>
      <c r="G115" s="52" t="s">
        <v>3917</v>
      </c>
      <c r="H115" s="52">
        <v>1.03242089E9</v>
      </c>
      <c r="I115" s="52" t="s">
        <v>4400</v>
      </c>
      <c r="J115" s="52" t="s">
        <v>170</v>
      </c>
      <c r="K115" s="52" t="s">
        <v>4938</v>
      </c>
      <c r="L115" s="52">
        <v>1.53012225E8</v>
      </c>
      <c r="M115" s="113">
        <v>45793.0</v>
      </c>
      <c r="N115" s="52" t="s">
        <v>5139</v>
      </c>
    </row>
    <row r="116">
      <c r="A116" s="52">
        <v>117.0</v>
      </c>
      <c r="B116" s="52" t="s">
        <v>4906</v>
      </c>
      <c r="C116" s="52">
        <v>2.0251610028913E13</v>
      </c>
      <c r="D116" s="52" t="s">
        <v>5140</v>
      </c>
      <c r="E116" s="52" t="s">
        <v>1088</v>
      </c>
      <c r="F116" s="69">
        <v>45783.0</v>
      </c>
      <c r="G116" s="52" t="s">
        <v>3917</v>
      </c>
      <c r="H116" s="52">
        <v>1.01850558E9</v>
      </c>
      <c r="I116" s="52" t="s">
        <v>4422</v>
      </c>
      <c r="J116" s="52" t="s">
        <v>217</v>
      </c>
      <c r="K116" s="52" t="s">
        <v>4938</v>
      </c>
      <c r="L116" s="52">
        <v>1.53026625E8</v>
      </c>
      <c r="M116" s="113">
        <v>45793.0</v>
      </c>
      <c r="N116" s="52" t="s">
        <v>5073</v>
      </c>
    </row>
    <row r="117">
      <c r="A117" s="52">
        <v>118.0</v>
      </c>
      <c r="B117" s="52" t="s">
        <v>4906</v>
      </c>
      <c r="C117" s="52">
        <v>2.0251610028923E13</v>
      </c>
      <c r="D117" s="52" t="s">
        <v>5141</v>
      </c>
      <c r="E117" s="52" t="s">
        <v>1045</v>
      </c>
      <c r="F117" s="69">
        <v>45783.0</v>
      </c>
      <c r="G117" s="52" t="s">
        <v>3917</v>
      </c>
      <c r="H117" s="52">
        <v>1.007387735E9</v>
      </c>
      <c r="I117" s="52" t="s">
        <v>4407</v>
      </c>
      <c r="J117" s="52" t="s">
        <v>217</v>
      </c>
      <c r="K117" s="52" t="s">
        <v>4938</v>
      </c>
      <c r="L117" s="52">
        <v>1.53034725E8</v>
      </c>
      <c r="M117" s="113">
        <v>45793.0</v>
      </c>
      <c r="N117" s="52" t="s">
        <v>4936</v>
      </c>
    </row>
    <row r="118">
      <c r="A118" s="52">
        <v>119.0</v>
      </c>
      <c r="B118" s="52" t="s">
        <v>4906</v>
      </c>
      <c r="C118" s="52">
        <v>2.0251610028933E13</v>
      </c>
      <c r="D118" s="52" t="s">
        <v>5142</v>
      </c>
      <c r="E118" s="52" t="s">
        <v>677</v>
      </c>
      <c r="F118" s="69">
        <v>45783.0</v>
      </c>
      <c r="G118" s="52" t="s">
        <v>3917</v>
      </c>
      <c r="H118" s="52">
        <v>1.098822094E9</v>
      </c>
      <c r="I118" s="52" t="s">
        <v>4420</v>
      </c>
      <c r="J118" s="52" t="s">
        <v>217</v>
      </c>
      <c r="K118" s="52" t="s">
        <v>4938</v>
      </c>
      <c r="L118" s="52">
        <v>1.53038425E8</v>
      </c>
      <c r="M118" s="113">
        <v>45793.0</v>
      </c>
      <c r="N118" s="52" t="s">
        <v>4936</v>
      </c>
    </row>
    <row r="119">
      <c r="A119" s="52">
        <v>120.0</v>
      </c>
      <c r="B119" s="52" t="s">
        <v>4906</v>
      </c>
      <c r="C119" s="52">
        <v>2.0251610028943E13</v>
      </c>
      <c r="D119" s="52" t="s">
        <v>5143</v>
      </c>
      <c r="E119" s="52" t="s">
        <v>212</v>
      </c>
      <c r="F119" s="69">
        <v>45783.0</v>
      </c>
      <c r="G119" s="52" t="s">
        <v>3917</v>
      </c>
      <c r="H119" s="52">
        <v>1.193447899E9</v>
      </c>
      <c r="I119" s="52" t="s">
        <v>4026</v>
      </c>
      <c r="J119" s="52" t="s">
        <v>217</v>
      </c>
      <c r="K119" s="52" t="s">
        <v>4938</v>
      </c>
      <c r="L119" s="52">
        <v>1.53048725E8</v>
      </c>
      <c r="M119" s="113">
        <v>45793.0</v>
      </c>
      <c r="N119" s="52" t="s">
        <v>5144</v>
      </c>
    </row>
    <row r="120">
      <c r="A120" s="52">
        <v>121.0</v>
      </c>
      <c r="B120" s="52" t="s">
        <v>4906</v>
      </c>
      <c r="C120" s="52">
        <v>2.0251610029103E13</v>
      </c>
      <c r="D120" s="52" t="s">
        <v>5145</v>
      </c>
      <c r="E120" s="52" t="s">
        <v>4030</v>
      </c>
      <c r="F120" s="69">
        <v>45783.0</v>
      </c>
      <c r="G120" s="52" t="s">
        <v>3917</v>
      </c>
      <c r="H120" s="52">
        <v>1.02235787E9</v>
      </c>
      <c r="I120" s="52" t="s">
        <v>4031</v>
      </c>
      <c r="J120" s="52" t="s">
        <v>170</v>
      </c>
      <c r="K120" s="52" t="s">
        <v>4938</v>
      </c>
      <c r="L120" s="52">
        <v>1.53051325E8</v>
      </c>
      <c r="M120" s="113">
        <v>45793.0</v>
      </c>
      <c r="N120" s="52" t="s">
        <v>5146</v>
      </c>
    </row>
    <row r="121">
      <c r="A121" s="52">
        <v>122.0</v>
      </c>
      <c r="B121" s="52" t="s">
        <v>4906</v>
      </c>
      <c r="C121" s="52">
        <v>2.0251610029113E13</v>
      </c>
      <c r="D121" s="52" t="s">
        <v>5147</v>
      </c>
      <c r="E121" s="52" t="s">
        <v>1080</v>
      </c>
      <c r="F121" s="69">
        <v>45783.0</v>
      </c>
      <c r="G121" s="52" t="s">
        <v>3917</v>
      </c>
      <c r="H121" s="52">
        <v>5.2958449E7</v>
      </c>
      <c r="I121" s="52" t="s">
        <v>4402</v>
      </c>
      <c r="J121" s="52" t="s">
        <v>170</v>
      </c>
      <c r="K121" s="52" t="s">
        <v>4938</v>
      </c>
      <c r="L121" s="52">
        <v>1.53070225E8</v>
      </c>
      <c r="M121" s="113">
        <v>45793.0</v>
      </c>
      <c r="N121" s="52" t="s">
        <v>5148</v>
      </c>
    </row>
    <row r="122">
      <c r="A122" s="52">
        <v>123.0</v>
      </c>
      <c r="B122" s="52" t="s">
        <v>4906</v>
      </c>
      <c r="C122" s="52">
        <v>2.0251010029223E13</v>
      </c>
      <c r="D122" s="52" t="s">
        <v>5149</v>
      </c>
      <c r="E122" s="52" t="s">
        <v>199</v>
      </c>
      <c r="F122" s="69">
        <v>45783.0</v>
      </c>
      <c r="G122" s="52" t="s">
        <v>3917</v>
      </c>
      <c r="H122" s="52">
        <v>1.013617963E9</v>
      </c>
      <c r="I122" s="52" t="s">
        <v>3973</v>
      </c>
      <c r="J122" s="52" t="s">
        <v>204</v>
      </c>
      <c r="K122" s="52" t="s">
        <v>4922</v>
      </c>
      <c r="L122" s="52">
        <v>1.43732325E8</v>
      </c>
      <c r="M122" s="113">
        <v>45786.0</v>
      </c>
      <c r="N122" s="52" t="s">
        <v>4989</v>
      </c>
    </row>
    <row r="123">
      <c r="A123" s="52">
        <v>124.0</v>
      </c>
      <c r="B123" s="52" t="s">
        <v>4906</v>
      </c>
      <c r="C123" s="52">
        <v>2.0251000029363E13</v>
      </c>
      <c r="D123" s="52" t="s">
        <v>5150</v>
      </c>
      <c r="E123" s="52" t="s">
        <v>94</v>
      </c>
      <c r="F123" s="69">
        <v>45783.0</v>
      </c>
      <c r="G123" s="52" t="s">
        <v>3917</v>
      </c>
      <c r="H123" s="52">
        <v>1.085276539E9</v>
      </c>
      <c r="I123" s="52" t="s">
        <v>4118</v>
      </c>
      <c r="J123" s="52" t="s">
        <v>99</v>
      </c>
      <c r="K123" s="52" t="s">
        <v>4947</v>
      </c>
      <c r="L123" s="52">
        <v>1.44026525E8</v>
      </c>
      <c r="M123" s="113">
        <v>45786.0</v>
      </c>
      <c r="N123" s="52" t="s">
        <v>5151</v>
      </c>
    </row>
    <row r="124">
      <c r="A124" s="52">
        <v>125.0</v>
      </c>
      <c r="B124" s="52" t="s">
        <v>4906</v>
      </c>
      <c r="C124" s="52">
        <v>2.0251900029373E13</v>
      </c>
      <c r="D124" s="52" t="s">
        <v>5152</v>
      </c>
      <c r="E124" s="52" t="s">
        <v>835</v>
      </c>
      <c r="F124" s="69">
        <v>45783.0</v>
      </c>
      <c r="G124" s="52" t="s">
        <v>3917</v>
      </c>
      <c r="H124" s="52">
        <v>1.010065876E9</v>
      </c>
      <c r="I124" s="52" t="s">
        <v>4450</v>
      </c>
      <c r="J124" s="52" t="s">
        <v>551</v>
      </c>
      <c r="K124" s="52" t="s">
        <v>4908</v>
      </c>
      <c r="L124" s="52">
        <v>1.57747225E8</v>
      </c>
      <c r="M124" s="113">
        <v>45797.0</v>
      </c>
      <c r="N124" s="52" t="s">
        <v>4987</v>
      </c>
    </row>
    <row r="125">
      <c r="A125" s="52">
        <v>127.0</v>
      </c>
      <c r="B125" s="52" t="s">
        <v>4906</v>
      </c>
      <c r="C125" s="52">
        <v>2.0251100029423E13</v>
      </c>
      <c r="D125" s="52" t="s">
        <v>5153</v>
      </c>
      <c r="E125" s="52" t="s">
        <v>43</v>
      </c>
      <c r="F125" s="69">
        <v>45783.0</v>
      </c>
      <c r="G125" s="52" t="s">
        <v>3917</v>
      </c>
      <c r="H125" s="52">
        <v>3.7279138E7</v>
      </c>
      <c r="I125" s="52" t="s">
        <v>3983</v>
      </c>
      <c r="J125" s="52" t="s">
        <v>4504</v>
      </c>
      <c r="K125" s="52" t="s">
        <v>4947</v>
      </c>
      <c r="L125" s="52">
        <v>1.43755625E8</v>
      </c>
      <c r="M125" s="113">
        <v>45786.0</v>
      </c>
      <c r="N125" s="52" t="s">
        <v>4959</v>
      </c>
    </row>
    <row r="126">
      <c r="A126" s="52">
        <v>128.0</v>
      </c>
      <c r="B126" s="52" t="s">
        <v>4906</v>
      </c>
      <c r="C126" s="52">
        <v>2.0251120029383E13</v>
      </c>
      <c r="D126" s="52" t="s">
        <v>5154</v>
      </c>
      <c r="E126" s="52" t="s">
        <v>2812</v>
      </c>
      <c r="F126" s="69">
        <v>45783.0</v>
      </c>
      <c r="G126" s="52" t="s">
        <v>3917</v>
      </c>
      <c r="H126" s="52">
        <v>1.054679552E9</v>
      </c>
      <c r="I126" s="52" t="s">
        <v>3967</v>
      </c>
      <c r="J126" s="52" t="s">
        <v>4356</v>
      </c>
      <c r="K126" s="52" t="s">
        <v>4914</v>
      </c>
      <c r="L126" s="52">
        <v>1.53057825E8</v>
      </c>
      <c r="M126" s="113">
        <v>45793.0</v>
      </c>
      <c r="N126" s="52" t="s">
        <v>5155</v>
      </c>
    </row>
    <row r="127">
      <c r="A127" s="52">
        <v>129.0</v>
      </c>
      <c r="B127" s="52" t="s">
        <v>4906</v>
      </c>
      <c r="C127" s="52">
        <v>2.0251610029393E13</v>
      </c>
      <c r="D127" s="52" t="s">
        <v>5156</v>
      </c>
      <c r="E127" s="52" t="s">
        <v>295</v>
      </c>
      <c r="F127" s="69">
        <v>45783.0</v>
      </c>
      <c r="G127" s="52" t="s">
        <v>3917</v>
      </c>
      <c r="H127" s="52">
        <v>1.004754082E9</v>
      </c>
      <c r="I127" s="52" t="s">
        <v>4038</v>
      </c>
      <c r="J127" s="52" t="s">
        <v>170</v>
      </c>
      <c r="K127" s="52" t="s">
        <v>4938</v>
      </c>
      <c r="L127" s="52">
        <v>1.53062625E8</v>
      </c>
      <c r="M127" s="113">
        <v>45793.0</v>
      </c>
      <c r="N127" s="52" t="s">
        <v>4936</v>
      </c>
    </row>
    <row r="128">
      <c r="A128" s="52">
        <v>130.0</v>
      </c>
      <c r="B128" s="52" t="s">
        <v>4906</v>
      </c>
      <c r="C128" s="52">
        <v>2.0251300029433E13</v>
      </c>
      <c r="D128" s="52" t="s">
        <v>5157</v>
      </c>
      <c r="E128" s="52" t="s">
        <v>2749</v>
      </c>
      <c r="F128" s="69">
        <v>45783.0</v>
      </c>
      <c r="G128" s="52" t="s">
        <v>3917</v>
      </c>
      <c r="H128" s="52">
        <v>5.312276E7</v>
      </c>
      <c r="I128" s="52" t="s">
        <v>4052</v>
      </c>
      <c r="J128" s="52" t="s">
        <v>192</v>
      </c>
      <c r="K128" s="52" t="s">
        <v>134</v>
      </c>
      <c r="L128" s="52">
        <v>1.43715825E8</v>
      </c>
      <c r="M128" s="113">
        <v>45786.0</v>
      </c>
      <c r="N128" s="52" t="s">
        <v>5158</v>
      </c>
    </row>
    <row r="129">
      <c r="A129" s="52">
        <v>131.0</v>
      </c>
      <c r="B129" s="52" t="s">
        <v>4906</v>
      </c>
      <c r="C129" s="52">
        <v>2.0251110029453E13</v>
      </c>
      <c r="D129" s="52" t="s">
        <v>5159</v>
      </c>
      <c r="E129" s="52" t="s">
        <v>2598</v>
      </c>
      <c r="F129" s="69">
        <v>45783.0</v>
      </c>
      <c r="G129" s="52" t="s">
        <v>4127</v>
      </c>
      <c r="H129" s="52">
        <v>9.01244985E8</v>
      </c>
      <c r="I129" s="52" t="s">
        <v>4170</v>
      </c>
      <c r="J129" s="52" t="s">
        <v>2596</v>
      </c>
      <c r="K129" s="52" t="s">
        <v>4914</v>
      </c>
      <c r="L129" s="52">
        <v>1.39130725E8</v>
      </c>
      <c r="M129" s="113">
        <v>45784.0</v>
      </c>
      <c r="N129" s="52" t="s">
        <v>5160</v>
      </c>
    </row>
    <row r="130">
      <c r="A130" s="52">
        <v>132.0</v>
      </c>
      <c r="B130" s="52" t="s">
        <v>4906</v>
      </c>
      <c r="C130" s="52">
        <v>2.0251000029473E13</v>
      </c>
      <c r="D130" s="52" t="s">
        <v>5161</v>
      </c>
      <c r="E130" s="52" t="s">
        <v>790</v>
      </c>
      <c r="F130" s="69">
        <v>45783.0</v>
      </c>
      <c r="G130" s="52" t="s">
        <v>3917</v>
      </c>
      <c r="H130" s="52">
        <v>1.000288699E9</v>
      </c>
      <c r="I130" s="52" t="s">
        <v>4500</v>
      </c>
      <c r="J130" s="52" t="s">
        <v>99</v>
      </c>
      <c r="K130" s="52" t="s">
        <v>4947</v>
      </c>
      <c r="L130" s="52">
        <v>1.39291925E8</v>
      </c>
      <c r="M130" s="113">
        <v>45784.0</v>
      </c>
      <c r="N130" s="52" t="s">
        <v>4936</v>
      </c>
    </row>
    <row r="131">
      <c r="A131" s="52">
        <v>133.0</v>
      </c>
      <c r="B131" s="52" t="s">
        <v>4906</v>
      </c>
      <c r="C131" s="52">
        <v>2.0251020029493E13</v>
      </c>
      <c r="D131" s="52" t="s">
        <v>5162</v>
      </c>
      <c r="E131" s="52" t="s">
        <v>2619</v>
      </c>
      <c r="F131" s="69">
        <v>45783.0</v>
      </c>
      <c r="G131" s="52" t="s">
        <v>3917</v>
      </c>
      <c r="H131" s="52">
        <v>5.2734728E7</v>
      </c>
      <c r="I131" s="52" t="s">
        <v>4100</v>
      </c>
      <c r="J131" s="52" t="s">
        <v>4319</v>
      </c>
      <c r="K131" s="52" t="s">
        <v>4976</v>
      </c>
      <c r="L131" s="52">
        <v>1.39288625E8</v>
      </c>
      <c r="M131" s="113">
        <v>45784.0</v>
      </c>
      <c r="N131" s="52" t="s">
        <v>5163</v>
      </c>
    </row>
    <row r="132">
      <c r="A132" s="52">
        <v>134.0</v>
      </c>
      <c r="B132" s="52" t="s">
        <v>4906</v>
      </c>
      <c r="C132" s="52">
        <v>2.0251700029503E13</v>
      </c>
      <c r="D132" s="52" t="s">
        <v>5164</v>
      </c>
      <c r="E132" s="52" t="s">
        <v>2737</v>
      </c>
      <c r="F132" s="69">
        <v>45783.0</v>
      </c>
      <c r="G132" s="52" t="s">
        <v>3917</v>
      </c>
      <c r="H132" s="52">
        <v>8.0724862E7</v>
      </c>
      <c r="I132" s="52" t="s">
        <v>4045</v>
      </c>
      <c r="J132" s="52" t="s">
        <v>588</v>
      </c>
      <c r="K132" s="52" t="s">
        <v>4932</v>
      </c>
      <c r="L132" s="52">
        <v>1.41404925E8</v>
      </c>
      <c r="M132" s="113">
        <v>45785.0</v>
      </c>
      <c r="N132" s="52" t="s">
        <v>5067</v>
      </c>
    </row>
    <row r="133">
      <c r="A133" s="52">
        <v>135.0</v>
      </c>
      <c r="B133" s="52" t="s">
        <v>4906</v>
      </c>
      <c r="C133" s="52">
        <v>2.0251110029513E13</v>
      </c>
      <c r="D133" s="52" t="s">
        <v>5165</v>
      </c>
      <c r="E133" s="52" t="s">
        <v>141</v>
      </c>
      <c r="F133" s="69">
        <v>45783.0</v>
      </c>
      <c r="G133" s="52" t="s">
        <v>3917</v>
      </c>
      <c r="H133" s="52">
        <v>5.2215231E7</v>
      </c>
      <c r="I133" s="52" t="s">
        <v>3963</v>
      </c>
      <c r="J133" s="52" t="s">
        <v>4682</v>
      </c>
      <c r="K133" s="52" t="s">
        <v>4914</v>
      </c>
      <c r="L133" s="52">
        <v>1.43778625E8</v>
      </c>
      <c r="M133" s="113">
        <v>45786.0</v>
      </c>
      <c r="N133" s="52" t="s">
        <v>5166</v>
      </c>
    </row>
    <row r="134">
      <c r="A134" s="52">
        <v>136.0</v>
      </c>
      <c r="B134" s="52" t="s">
        <v>4906</v>
      </c>
      <c r="C134" s="52">
        <v>2.0251020029523E13</v>
      </c>
      <c r="D134" s="52" t="s">
        <v>5167</v>
      </c>
      <c r="E134" s="52" t="s">
        <v>4530</v>
      </c>
      <c r="F134" s="69">
        <v>45783.0</v>
      </c>
      <c r="G134" s="52" t="s">
        <v>3917</v>
      </c>
      <c r="H134" s="52">
        <v>1.016069508E9</v>
      </c>
      <c r="I134" s="52" t="s">
        <v>4531</v>
      </c>
      <c r="J134" s="52" t="s">
        <v>4319</v>
      </c>
      <c r="K134" s="52" t="s">
        <v>4976</v>
      </c>
      <c r="L134" s="52">
        <v>1.43748225E8</v>
      </c>
      <c r="M134" s="113">
        <v>45786.0</v>
      </c>
      <c r="N134" s="52" t="s">
        <v>5168</v>
      </c>
    </row>
    <row r="135">
      <c r="A135" s="52">
        <v>137.0</v>
      </c>
      <c r="B135" s="52" t="s">
        <v>4906</v>
      </c>
      <c r="C135" s="52">
        <v>2.0251100029553E13</v>
      </c>
      <c r="D135" s="52" t="s">
        <v>5169</v>
      </c>
      <c r="E135" s="52" t="s">
        <v>135</v>
      </c>
      <c r="F135" s="69">
        <v>45783.0</v>
      </c>
      <c r="G135" s="52" t="s">
        <v>3917</v>
      </c>
      <c r="H135" s="52">
        <v>1.013590021E9</v>
      </c>
      <c r="I135" s="52" t="s">
        <v>4156</v>
      </c>
      <c r="J135" s="52" t="s">
        <v>4504</v>
      </c>
      <c r="K135" s="52" t="s">
        <v>4947</v>
      </c>
      <c r="L135" s="52">
        <v>1.43760825E8</v>
      </c>
      <c r="M135" s="113">
        <v>45786.0</v>
      </c>
      <c r="N135" s="52" t="s">
        <v>4948</v>
      </c>
    </row>
    <row r="136">
      <c r="A136" s="52">
        <v>138.0</v>
      </c>
      <c r="B136" s="52" t="s">
        <v>4906</v>
      </c>
      <c r="C136" s="52">
        <v>2.0251300029583E13</v>
      </c>
      <c r="D136" s="52" t="s">
        <v>5170</v>
      </c>
      <c r="E136" s="52" t="s">
        <v>810</v>
      </c>
      <c r="F136" s="69">
        <v>45783.0</v>
      </c>
      <c r="G136" s="52" t="s">
        <v>3917</v>
      </c>
      <c r="H136" s="52">
        <v>1.062425689E9</v>
      </c>
      <c r="I136" s="52" t="s">
        <v>4616</v>
      </c>
      <c r="J136" s="52" t="s">
        <v>192</v>
      </c>
      <c r="K136" s="52" t="s">
        <v>134</v>
      </c>
      <c r="L136" s="52">
        <v>1.43810625E8</v>
      </c>
      <c r="M136" s="113">
        <v>45786.0</v>
      </c>
      <c r="N136" s="52" t="s">
        <v>5171</v>
      </c>
    </row>
    <row r="137">
      <c r="A137" s="52">
        <v>139.0</v>
      </c>
      <c r="B137" s="52" t="s">
        <v>4906</v>
      </c>
      <c r="C137" s="52">
        <v>2.0251020029593E13</v>
      </c>
      <c r="D137" s="52" t="s">
        <v>5172</v>
      </c>
      <c r="E137" s="52" t="s">
        <v>713</v>
      </c>
      <c r="F137" s="69">
        <v>45783.0</v>
      </c>
      <c r="G137" s="52" t="s">
        <v>3917</v>
      </c>
      <c r="H137" s="52">
        <v>1.032362123E9</v>
      </c>
      <c r="I137" s="52" t="s">
        <v>4840</v>
      </c>
      <c r="J137" s="52" t="s">
        <v>4319</v>
      </c>
      <c r="K137" s="52" t="s">
        <v>4976</v>
      </c>
      <c r="L137" s="52">
        <v>1.44061225E8</v>
      </c>
      <c r="M137" s="113">
        <v>45786.0</v>
      </c>
      <c r="N137" s="52" t="s">
        <v>4952</v>
      </c>
    </row>
    <row r="138">
      <c r="A138" s="52">
        <v>140.0</v>
      </c>
      <c r="B138" s="52" t="s">
        <v>4906</v>
      </c>
      <c r="C138" s="52">
        <v>2.0251700029573E13</v>
      </c>
      <c r="D138" s="52" t="s">
        <v>5173</v>
      </c>
      <c r="E138" s="52" t="s">
        <v>385</v>
      </c>
      <c r="F138" s="69">
        <v>45783.0</v>
      </c>
      <c r="G138" s="52" t="s">
        <v>3917</v>
      </c>
      <c r="H138" s="52">
        <v>1.018487193E9</v>
      </c>
      <c r="I138" s="52" t="s">
        <v>4135</v>
      </c>
      <c r="J138" s="52" t="s">
        <v>4378</v>
      </c>
      <c r="K138" s="52" t="s">
        <v>4932</v>
      </c>
      <c r="L138" s="52" t="s">
        <v>5174</v>
      </c>
      <c r="M138" s="113">
        <v>45784.0</v>
      </c>
      <c r="N138" s="52" t="s">
        <v>5175</v>
      </c>
    </row>
    <row r="139">
      <c r="A139" s="52">
        <v>141.0</v>
      </c>
      <c r="B139" s="52" t="s">
        <v>4906</v>
      </c>
      <c r="C139" s="52">
        <v>2.0251020029603E13</v>
      </c>
      <c r="D139" s="52" t="s">
        <v>5176</v>
      </c>
      <c r="E139" s="52" t="s">
        <v>4347</v>
      </c>
      <c r="F139" s="69">
        <v>45783.0</v>
      </c>
      <c r="G139" s="52" t="s">
        <v>3917</v>
      </c>
      <c r="H139" s="52">
        <v>1.110461441E9</v>
      </c>
      <c r="I139" s="52" t="s">
        <v>4348</v>
      </c>
      <c r="J139" s="52" t="s">
        <v>4319</v>
      </c>
      <c r="K139" s="52" t="s">
        <v>4976</v>
      </c>
      <c r="L139" s="52">
        <v>1.44312825E8</v>
      </c>
      <c r="M139" s="113">
        <v>45786.0</v>
      </c>
      <c r="N139" s="52" t="s">
        <v>5177</v>
      </c>
    </row>
    <row r="140">
      <c r="A140" s="52">
        <v>142.0</v>
      </c>
      <c r="B140" s="52" t="s">
        <v>4906</v>
      </c>
      <c r="C140" s="52">
        <v>2.0251610029283E13</v>
      </c>
      <c r="D140" s="52" t="s">
        <v>5178</v>
      </c>
      <c r="E140" s="52" t="s">
        <v>4309</v>
      </c>
      <c r="F140" s="69">
        <v>45783.0</v>
      </c>
      <c r="G140" s="52" t="s">
        <v>3917</v>
      </c>
      <c r="H140" s="52">
        <v>7.97447E7</v>
      </c>
      <c r="I140" s="52" t="s">
        <v>4310</v>
      </c>
      <c r="J140" s="52" t="s">
        <v>5179</v>
      </c>
      <c r="K140" s="52" t="s">
        <v>4938</v>
      </c>
      <c r="L140" s="52" t="s">
        <v>5180</v>
      </c>
      <c r="M140" s="113">
        <v>45786.0</v>
      </c>
      <c r="N140" s="52" t="s">
        <v>5181</v>
      </c>
    </row>
    <row r="141">
      <c r="A141" s="52">
        <v>143.0</v>
      </c>
      <c r="B141" s="52" t="s">
        <v>4906</v>
      </c>
      <c r="C141" s="52">
        <v>2.0251500029663E13</v>
      </c>
      <c r="D141" s="52" t="s">
        <v>5182</v>
      </c>
      <c r="E141" s="52" t="s">
        <v>4280</v>
      </c>
      <c r="F141" s="69">
        <v>45783.0</v>
      </c>
      <c r="G141" s="52" t="s">
        <v>3917</v>
      </c>
      <c r="H141" s="52">
        <v>1.030634155E9</v>
      </c>
      <c r="I141" s="52" t="s">
        <v>4281</v>
      </c>
      <c r="J141" s="52" t="s">
        <v>181</v>
      </c>
      <c r="K141" s="52" t="s">
        <v>4927</v>
      </c>
      <c r="L141" s="52">
        <v>1.47130725E8</v>
      </c>
      <c r="M141" s="113">
        <v>45789.0</v>
      </c>
      <c r="N141" s="52" t="s">
        <v>5121</v>
      </c>
    </row>
    <row r="142">
      <c r="A142" s="52">
        <v>144.0</v>
      </c>
      <c r="B142" s="52" t="s">
        <v>4906</v>
      </c>
      <c r="C142" s="52">
        <v>2.0251500029673E13</v>
      </c>
      <c r="D142" s="52" t="s">
        <v>5183</v>
      </c>
      <c r="E142" s="52" t="s">
        <v>865</v>
      </c>
      <c r="F142" s="69">
        <v>45783.0</v>
      </c>
      <c r="G142" s="52" t="s">
        <v>3917</v>
      </c>
      <c r="H142" s="52">
        <v>8.085303E7</v>
      </c>
      <c r="I142" s="52" t="s">
        <v>4274</v>
      </c>
      <c r="J142" s="52" t="s">
        <v>181</v>
      </c>
      <c r="K142" s="52" t="s">
        <v>4927</v>
      </c>
      <c r="L142" s="52">
        <v>1.47139425E8</v>
      </c>
      <c r="M142" s="113">
        <v>45789.0</v>
      </c>
      <c r="N142" s="52" t="s">
        <v>5121</v>
      </c>
    </row>
    <row r="143">
      <c r="A143" s="52">
        <v>145.0</v>
      </c>
      <c r="B143" s="52" t="s">
        <v>4906</v>
      </c>
      <c r="C143" s="52">
        <v>2.0251500029683E13</v>
      </c>
      <c r="D143" s="52" t="s">
        <v>5184</v>
      </c>
      <c r="E143" s="52" t="s">
        <v>183</v>
      </c>
      <c r="F143" s="69">
        <v>45783.0</v>
      </c>
      <c r="G143" s="52" t="s">
        <v>3917</v>
      </c>
      <c r="H143" s="52">
        <v>1.024471867E9</v>
      </c>
      <c r="I143" s="52" t="s">
        <v>4089</v>
      </c>
      <c r="J143" s="52" t="s">
        <v>181</v>
      </c>
      <c r="K143" s="52" t="s">
        <v>4927</v>
      </c>
      <c r="L143" s="52">
        <v>1.39293025E8</v>
      </c>
      <c r="M143" s="113">
        <v>45784.0</v>
      </c>
      <c r="N143" s="52" t="s">
        <v>4966</v>
      </c>
    </row>
    <row r="144">
      <c r="A144" s="52">
        <v>146.0</v>
      </c>
      <c r="B144" s="52" t="s">
        <v>4906</v>
      </c>
      <c r="C144" s="52">
        <v>2.0251700029693E13</v>
      </c>
      <c r="D144" s="52" t="s">
        <v>5185</v>
      </c>
      <c r="E144" s="52" t="s">
        <v>5186</v>
      </c>
      <c r="F144" s="69">
        <v>45783.0</v>
      </c>
      <c r="G144" s="52" t="s">
        <v>3917</v>
      </c>
      <c r="H144" s="52">
        <v>1.018472611E9</v>
      </c>
      <c r="I144" s="52" t="s">
        <v>4325</v>
      </c>
      <c r="J144" s="52" t="s">
        <v>4806</v>
      </c>
      <c r="K144" s="52" t="s">
        <v>4932</v>
      </c>
      <c r="L144" s="52">
        <v>1.43683025E8</v>
      </c>
      <c r="M144" s="113">
        <v>45786.0</v>
      </c>
      <c r="N144" s="52" t="s">
        <v>5067</v>
      </c>
    </row>
    <row r="145">
      <c r="A145" s="52">
        <v>147.0</v>
      </c>
      <c r="B145" s="52" t="s">
        <v>4906</v>
      </c>
      <c r="C145" s="52">
        <v>2.0251800029723E13</v>
      </c>
      <c r="D145" s="52" t="s">
        <v>5187</v>
      </c>
      <c r="E145" s="52" t="s">
        <v>476</v>
      </c>
      <c r="F145" s="69">
        <v>45783.0</v>
      </c>
      <c r="G145" s="52" t="s">
        <v>3917</v>
      </c>
      <c r="H145" s="52">
        <v>9528037.0</v>
      </c>
      <c r="I145" s="52" t="s">
        <v>3951</v>
      </c>
      <c r="J145" s="52" t="s">
        <v>468</v>
      </c>
      <c r="K145" s="52" t="s">
        <v>4954</v>
      </c>
      <c r="L145" s="52">
        <v>1.41317625E8</v>
      </c>
      <c r="M145" s="113">
        <v>45785.0</v>
      </c>
      <c r="N145" s="52" t="s">
        <v>5022</v>
      </c>
    </row>
    <row r="146">
      <c r="A146" s="52">
        <v>148.0</v>
      </c>
      <c r="B146" s="52" t="s">
        <v>4906</v>
      </c>
      <c r="C146" s="52">
        <v>2.0251530029713E13</v>
      </c>
      <c r="D146" s="52" t="s">
        <v>5188</v>
      </c>
      <c r="E146" s="52" t="s">
        <v>890</v>
      </c>
      <c r="F146" s="69">
        <v>45783.0</v>
      </c>
      <c r="G146" s="52" t="s">
        <v>3917</v>
      </c>
      <c r="H146" s="52">
        <v>1.010198057E9</v>
      </c>
      <c r="I146" s="52" t="s">
        <v>4376</v>
      </c>
      <c r="J146" s="52" t="s">
        <v>973</v>
      </c>
      <c r="K146" s="52" t="s">
        <v>4927</v>
      </c>
      <c r="L146" s="52">
        <v>1.41518625E8</v>
      </c>
      <c r="M146" s="113">
        <v>45785.0</v>
      </c>
      <c r="N146" s="52" t="s">
        <v>4941</v>
      </c>
    </row>
    <row r="147">
      <c r="A147" s="52">
        <v>149.0</v>
      </c>
      <c r="B147" s="52" t="s">
        <v>4906</v>
      </c>
      <c r="C147" s="52">
        <v>2.0251800029743E13</v>
      </c>
      <c r="D147" s="52" t="s">
        <v>5189</v>
      </c>
      <c r="E147" s="52" t="s">
        <v>448</v>
      </c>
      <c r="F147" s="69">
        <v>45783.0</v>
      </c>
      <c r="G147" s="52" t="s">
        <v>3917</v>
      </c>
      <c r="H147" s="52">
        <v>4.209482E7</v>
      </c>
      <c r="I147" s="52" t="s">
        <v>3961</v>
      </c>
      <c r="J147" s="52" t="s">
        <v>4333</v>
      </c>
      <c r="K147" s="52" t="s">
        <v>4954</v>
      </c>
      <c r="L147" s="52">
        <v>1.50692425E8</v>
      </c>
      <c r="M147" s="113">
        <v>45791.0</v>
      </c>
      <c r="N147" s="52" t="s">
        <v>5097</v>
      </c>
    </row>
    <row r="148">
      <c r="A148" s="52">
        <v>150.0</v>
      </c>
      <c r="B148" s="52" t="s">
        <v>4906</v>
      </c>
      <c r="C148" s="52">
        <v>2.0251610029443E13</v>
      </c>
      <c r="D148" s="52" t="s">
        <v>5190</v>
      </c>
      <c r="E148" s="52" t="s">
        <v>309</v>
      </c>
      <c r="F148" s="69">
        <v>45783.0</v>
      </c>
      <c r="G148" s="52" t="s">
        <v>3917</v>
      </c>
      <c r="H148" s="52">
        <v>1.08829271E9</v>
      </c>
      <c r="I148" s="52" t="s">
        <v>4077</v>
      </c>
      <c r="J148" s="52" t="s">
        <v>294</v>
      </c>
      <c r="K148" s="52" t="s">
        <v>4938</v>
      </c>
      <c r="L148" s="52">
        <v>1.43701825E8</v>
      </c>
      <c r="M148" s="113">
        <v>45786.0</v>
      </c>
      <c r="N148" s="52" t="s">
        <v>5191</v>
      </c>
    </row>
    <row r="149">
      <c r="A149" s="52">
        <v>151.0</v>
      </c>
      <c r="B149" s="52" t="s">
        <v>4906</v>
      </c>
      <c r="C149" s="52">
        <v>2.0251020029703E13</v>
      </c>
      <c r="D149" s="52" t="s">
        <v>5192</v>
      </c>
      <c r="E149" s="52" t="s">
        <v>253</v>
      </c>
      <c r="F149" s="69">
        <v>45783.0</v>
      </c>
      <c r="G149" s="52" t="s">
        <v>3917</v>
      </c>
      <c r="H149" s="52">
        <v>1.018492802E9</v>
      </c>
      <c r="I149" s="52" t="s">
        <v>3938</v>
      </c>
      <c r="J149" s="52" t="s">
        <v>1232</v>
      </c>
      <c r="K149" s="52" t="s">
        <v>4976</v>
      </c>
      <c r="L149" s="52">
        <v>1.50699425E8</v>
      </c>
      <c r="M149" s="113">
        <v>45791.0</v>
      </c>
      <c r="N149" s="52" t="s">
        <v>5193</v>
      </c>
    </row>
    <row r="150">
      <c r="A150" s="52">
        <v>152.0</v>
      </c>
      <c r="B150" s="52" t="s">
        <v>4906</v>
      </c>
      <c r="C150" s="52">
        <v>2.0251800029733E13</v>
      </c>
      <c r="D150" s="52" t="s">
        <v>5194</v>
      </c>
      <c r="E150" s="52" t="s">
        <v>464</v>
      </c>
      <c r="F150" s="69">
        <v>45783.0</v>
      </c>
      <c r="G150" s="52" t="s">
        <v>3917</v>
      </c>
      <c r="H150" s="52">
        <v>1.015445697E9</v>
      </c>
      <c r="I150" s="52" t="s">
        <v>3971</v>
      </c>
      <c r="J150" s="52" t="s">
        <v>468</v>
      </c>
      <c r="K150" s="52" t="s">
        <v>4954</v>
      </c>
      <c r="L150" s="52">
        <v>1.47095425E8</v>
      </c>
      <c r="M150" s="113">
        <v>45789.0</v>
      </c>
      <c r="N150" s="52" t="s">
        <v>5123</v>
      </c>
    </row>
    <row r="151">
      <c r="A151" s="52">
        <v>153.0</v>
      </c>
      <c r="B151" s="52" t="s">
        <v>4906</v>
      </c>
      <c r="C151" s="52">
        <v>2.0251900029753E13</v>
      </c>
      <c r="D151" s="52" t="s">
        <v>5195</v>
      </c>
      <c r="E151" s="52" t="s">
        <v>5196</v>
      </c>
      <c r="F151" s="69">
        <v>45783.0</v>
      </c>
      <c r="G151" s="52" t="s">
        <v>3917</v>
      </c>
      <c r="H151" s="52">
        <v>1.077149572E9</v>
      </c>
      <c r="I151" s="52" t="s">
        <v>4585</v>
      </c>
      <c r="J151" s="52" t="s">
        <v>4951</v>
      </c>
      <c r="K151" s="52" t="s">
        <v>4908</v>
      </c>
      <c r="L151" s="52">
        <v>1.44016425E8</v>
      </c>
      <c r="M151" s="113">
        <v>45786.0</v>
      </c>
      <c r="N151" s="52" t="s">
        <v>4987</v>
      </c>
    </row>
    <row r="152">
      <c r="A152" s="52">
        <v>154.0</v>
      </c>
      <c r="B152" s="52" t="s">
        <v>4906</v>
      </c>
      <c r="C152" s="52">
        <v>2.0251530029773E13</v>
      </c>
      <c r="D152" s="52" t="s">
        <v>5197</v>
      </c>
      <c r="E152" s="52" t="s">
        <v>5198</v>
      </c>
      <c r="F152" s="69">
        <v>45783.0</v>
      </c>
      <c r="G152" s="52" t="s">
        <v>3917</v>
      </c>
      <c r="H152" s="52">
        <v>1.019038567E9</v>
      </c>
      <c r="I152" s="52" t="s">
        <v>4331</v>
      </c>
      <c r="J152" s="52" t="s">
        <v>352</v>
      </c>
      <c r="K152" s="52" t="s">
        <v>4927</v>
      </c>
      <c r="L152" s="52">
        <v>1.43816125E8</v>
      </c>
      <c r="M152" s="113">
        <v>45786.0</v>
      </c>
      <c r="N152" s="52" t="s">
        <v>5199</v>
      </c>
    </row>
    <row r="153">
      <c r="A153" s="52">
        <v>155.0</v>
      </c>
      <c r="B153" s="52" t="s">
        <v>4906</v>
      </c>
      <c r="C153" s="52">
        <v>2.0251610029463E13</v>
      </c>
      <c r="D153" s="52" t="s">
        <v>5200</v>
      </c>
      <c r="E153" s="52" t="s">
        <v>1013</v>
      </c>
      <c r="F153" s="69">
        <v>45783.0</v>
      </c>
      <c r="G153" s="52" t="s">
        <v>3917</v>
      </c>
      <c r="H153" s="52">
        <v>1.032445678E9</v>
      </c>
      <c r="I153" s="52" t="s">
        <v>4404</v>
      </c>
      <c r="J153" s="52" t="s">
        <v>561</v>
      </c>
      <c r="K153" s="52" t="s">
        <v>4938</v>
      </c>
      <c r="L153" s="52">
        <v>1.53172525E8</v>
      </c>
      <c r="M153" s="113">
        <v>45793.0</v>
      </c>
      <c r="N153" s="52" t="s">
        <v>5201</v>
      </c>
    </row>
    <row r="154">
      <c r="A154" s="52">
        <v>156.0</v>
      </c>
      <c r="B154" s="52" t="s">
        <v>4906</v>
      </c>
      <c r="C154" s="52">
        <v>2.0251000029783E13</v>
      </c>
      <c r="D154" s="52" t="s">
        <v>5202</v>
      </c>
      <c r="E154" s="52" t="s">
        <v>5203</v>
      </c>
      <c r="F154" s="69">
        <v>45783.0</v>
      </c>
      <c r="G154" s="52" t="s">
        <v>3917</v>
      </c>
      <c r="H154" s="52">
        <v>1.032359288E9</v>
      </c>
      <c r="I154" s="52" t="s">
        <v>5204</v>
      </c>
      <c r="J154" s="52" t="s">
        <v>2663</v>
      </c>
      <c r="K154" s="52" t="s">
        <v>4947</v>
      </c>
      <c r="L154" s="52">
        <v>1.50700925E8</v>
      </c>
      <c r="M154" s="113">
        <v>45791.0</v>
      </c>
      <c r="N154" s="52" t="s">
        <v>5205</v>
      </c>
    </row>
    <row r="155">
      <c r="A155" s="52">
        <v>157.0</v>
      </c>
      <c r="B155" s="52" t="s">
        <v>4906</v>
      </c>
      <c r="C155" s="52">
        <v>2.0251610029823E13</v>
      </c>
      <c r="D155" s="52" t="s">
        <v>5206</v>
      </c>
      <c r="E155" s="52" t="s">
        <v>859</v>
      </c>
      <c r="F155" s="69">
        <v>45783.0</v>
      </c>
      <c r="G155" s="52" t="s">
        <v>3917</v>
      </c>
      <c r="H155" s="52">
        <v>1.032433564E9</v>
      </c>
      <c r="I155" s="52" t="s">
        <v>4469</v>
      </c>
      <c r="J155" s="52" t="s">
        <v>557</v>
      </c>
      <c r="K155" s="52" t="s">
        <v>4938</v>
      </c>
      <c r="L155" s="52">
        <v>1.47140125E8</v>
      </c>
      <c r="M155" s="113">
        <v>45789.0</v>
      </c>
      <c r="N155" s="52" t="s">
        <v>5207</v>
      </c>
    </row>
    <row r="156">
      <c r="A156" s="52">
        <v>158.0</v>
      </c>
      <c r="B156" s="52" t="s">
        <v>4906</v>
      </c>
      <c r="C156" s="52">
        <v>2.0251500029853E13</v>
      </c>
      <c r="D156" s="52" t="s">
        <v>5208</v>
      </c>
      <c r="E156" s="52" t="s">
        <v>879</v>
      </c>
      <c r="F156" s="69">
        <v>45783.0</v>
      </c>
      <c r="G156" s="52" t="s">
        <v>3917</v>
      </c>
      <c r="H156" s="52">
        <v>1.010210361E9</v>
      </c>
      <c r="I156" s="52" t="s">
        <v>4481</v>
      </c>
      <c r="J156" s="52" t="s">
        <v>4443</v>
      </c>
      <c r="K156" s="52" t="s">
        <v>4927</v>
      </c>
      <c r="L156" s="52">
        <v>1.47145225E8</v>
      </c>
      <c r="M156" s="113">
        <v>45789.0</v>
      </c>
      <c r="N156" s="52" t="s">
        <v>5209</v>
      </c>
    </row>
    <row r="157">
      <c r="A157" s="52">
        <v>159.0</v>
      </c>
      <c r="B157" s="52" t="s">
        <v>4906</v>
      </c>
      <c r="C157" s="52">
        <v>2.0251800029883E13</v>
      </c>
      <c r="D157" s="52" t="s">
        <v>5210</v>
      </c>
      <c r="E157" s="52" t="s">
        <v>538</v>
      </c>
      <c r="F157" s="69">
        <v>45783.0</v>
      </c>
      <c r="G157" s="52" t="s">
        <v>3917</v>
      </c>
      <c r="H157" s="52">
        <v>8.7949267E7</v>
      </c>
      <c r="I157" s="52" t="s">
        <v>4172</v>
      </c>
      <c r="J157" s="52" t="s">
        <v>4339</v>
      </c>
      <c r="K157" s="52" t="s">
        <v>4954</v>
      </c>
      <c r="L157" s="52">
        <v>1.48152325E8</v>
      </c>
      <c r="M157" s="113">
        <v>45790.0</v>
      </c>
      <c r="N157" s="52" t="s">
        <v>5211</v>
      </c>
    </row>
    <row r="158">
      <c r="A158" s="52">
        <v>160.0</v>
      </c>
      <c r="B158" s="52" t="s">
        <v>4906</v>
      </c>
      <c r="C158" s="52">
        <v>2.0251500029863E13</v>
      </c>
      <c r="D158" s="52" t="s">
        <v>5212</v>
      </c>
      <c r="E158" s="52" t="s">
        <v>4445</v>
      </c>
      <c r="F158" s="69">
        <v>45783.0</v>
      </c>
      <c r="G158" s="52" t="s">
        <v>3917</v>
      </c>
      <c r="H158" s="52">
        <v>1.055272277E9</v>
      </c>
      <c r="I158" s="52" t="s">
        <v>4446</v>
      </c>
      <c r="J158" s="52" t="s">
        <v>4443</v>
      </c>
      <c r="K158" s="52" t="s">
        <v>4927</v>
      </c>
      <c r="L158" s="52">
        <v>1.48166925E8</v>
      </c>
      <c r="M158" s="113">
        <v>45790.0</v>
      </c>
      <c r="N158" s="52" t="s">
        <v>5213</v>
      </c>
    </row>
    <row r="159">
      <c r="A159" s="52">
        <v>161.0</v>
      </c>
      <c r="B159" s="52" t="s">
        <v>4906</v>
      </c>
      <c r="C159" s="52">
        <v>2.0251610029803E13</v>
      </c>
      <c r="D159" s="52" t="s">
        <v>5214</v>
      </c>
      <c r="E159" s="52" t="s">
        <v>553</v>
      </c>
      <c r="F159" s="69">
        <v>45783.0</v>
      </c>
      <c r="G159" s="52" t="s">
        <v>3917</v>
      </c>
      <c r="H159" s="52">
        <v>1.07413537E9</v>
      </c>
      <c r="I159" s="52" t="s">
        <v>4075</v>
      </c>
      <c r="J159" s="52" t="s">
        <v>557</v>
      </c>
      <c r="K159" s="52" t="s">
        <v>4938</v>
      </c>
      <c r="L159" s="52">
        <v>1.53065325E8</v>
      </c>
      <c r="M159" s="113">
        <v>45793.0</v>
      </c>
      <c r="N159" s="52" t="s">
        <v>5146</v>
      </c>
    </row>
    <row r="160">
      <c r="A160" s="52">
        <v>162.0</v>
      </c>
      <c r="B160" s="52" t="s">
        <v>4906</v>
      </c>
      <c r="C160" s="52">
        <v>2.0251610030033E13</v>
      </c>
      <c r="D160" s="52" t="s">
        <v>5215</v>
      </c>
      <c r="E160" s="52" t="s">
        <v>758</v>
      </c>
      <c r="F160" s="69">
        <v>45783.0</v>
      </c>
      <c r="G160" s="52" t="s">
        <v>3917</v>
      </c>
      <c r="H160" s="52">
        <v>1.026592381E9</v>
      </c>
      <c r="I160" s="52" t="s">
        <v>4272</v>
      </c>
      <c r="J160" s="52" t="s">
        <v>405</v>
      </c>
      <c r="K160" s="52" t="s">
        <v>4954</v>
      </c>
      <c r="L160" s="52">
        <v>1.53083125E8</v>
      </c>
      <c r="M160" s="113">
        <v>45793.0</v>
      </c>
      <c r="N160" s="52" t="s">
        <v>4936</v>
      </c>
    </row>
    <row r="161">
      <c r="A161" s="52">
        <v>163.0</v>
      </c>
      <c r="B161" s="52" t="s">
        <v>4906</v>
      </c>
      <c r="C161" s="52">
        <v>2.0251900029903E13</v>
      </c>
      <c r="D161" s="52" t="s">
        <v>5216</v>
      </c>
      <c r="E161" s="52" t="s">
        <v>5217</v>
      </c>
      <c r="F161" s="69">
        <v>45783.0</v>
      </c>
      <c r="G161" s="52" t="s">
        <v>3917</v>
      </c>
      <c r="H161" s="52">
        <v>1.032484145E9</v>
      </c>
      <c r="I161" s="52" t="s">
        <v>4211</v>
      </c>
      <c r="J161" s="52" t="s">
        <v>1207</v>
      </c>
      <c r="K161" s="52" t="s">
        <v>4908</v>
      </c>
      <c r="L161" s="52">
        <v>1.43660325E8</v>
      </c>
      <c r="M161" s="113">
        <v>45786.0</v>
      </c>
      <c r="N161" s="52" t="s">
        <v>4911</v>
      </c>
    </row>
    <row r="162">
      <c r="A162" s="52">
        <v>164.0</v>
      </c>
      <c r="B162" s="52" t="s">
        <v>4906</v>
      </c>
      <c r="C162" s="52">
        <v>2.0251500029913E13</v>
      </c>
      <c r="D162" s="52" t="s">
        <v>5218</v>
      </c>
      <c r="E162" s="52" t="s">
        <v>602</v>
      </c>
      <c r="F162" s="69">
        <v>45783.0</v>
      </c>
      <c r="G162" s="52" t="s">
        <v>3917</v>
      </c>
      <c r="H162" s="52">
        <v>1.032461718E9</v>
      </c>
      <c r="I162" s="52" t="s">
        <v>4353</v>
      </c>
      <c r="J162" s="52" t="s">
        <v>5219</v>
      </c>
      <c r="K162" s="52" t="s">
        <v>4927</v>
      </c>
      <c r="L162" s="52">
        <v>1.41531325E8</v>
      </c>
      <c r="M162" s="113">
        <v>45785.0</v>
      </c>
      <c r="N162" s="52" t="s">
        <v>4943</v>
      </c>
    </row>
    <row r="163">
      <c r="A163" s="52">
        <v>165.0</v>
      </c>
      <c r="B163" s="52" t="s">
        <v>4906</v>
      </c>
      <c r="C163" s="52">
        <v>2.0251110029933E13</v>
      </c>
      <c r="D163" s="52" t="s">
        <v>5220</v>
      </c>
      <c r="E163" s="52" t="s">
        <v>264</v>
      </c>
      <c r="F163" s="69">
        <v>45783.0</v>
      </c>
      <c r="G163" s="52" t="s">
        <v>4127</v>
      </c>
      <c r="H163" s="52">
        <v>9.00196555E8</v>
      </c>
      <c r="I163" s="52" t="s">
        <v>4128</v>
      </c>
      <c r="J163" s="52" t="s">
        <v>2596</v>
      </c>
      <c r="K163" s="52" t="s">
        <v>4914</v>
      </c>
      <c r="L163" s="52">
        <v>1.43664025E8</v>
      </c>
      <c r="M163" s="113">
        <v>45786.0</v>
      </c>
      <c r="N163" s="52" t="s">
        <v>5221</v>
      </c>
    </row>
    <row r="164">
      <c r="A164" s="52">
        <v>166.0</v>
      </c>
      <c r="B164" s="52" t="s">
        <v>4906</v>
      </c>
      <c r="C164" s="52">
        <v>2.0251500029953E13</v>
      </c>
      <c r="D164" s="52" t="s">
        <v>5222</v>
      </c>
      <c r="E164" s="52" t="s">
        <v>4410</v>
      </c>
      <c r="F164" s="69">
        <v>45783.0</v>
      </c>
      <c r="G164" s="52" t="s">
        <v>3917</v>
      </c>
      <c r="H164" s="52">
        <v>1.052394569E9</v>
      </c>
      <c r="I164" s="52" t="s">
        <v>4411</v>
      </c>
      <c r="J164" s="52" t="s">
        <v>4412</v>
      </c>
      <c r="K164" s="52" t="s">
        <v>4927</v>
      </c>
      <c r="L164" s="52">
        <v>1.41557825E8</v>
      </c>
      <c r="M164" s="113">
        <v>45785.0</v>
      </c>
      <c r="N164" s="52" t="s">
        <v>4943</v>
      </c>
    </row>
    <row r="165">
      <c r="A165" s="52">
        <v>167.0</v>
      </c>
      <c r="B165" s="52" t="s">
        <v>4906</v>
      </c>
      <c r="C165" s="52">
        <v>2.0251500029983E13</v>
      </c>
      <c r="D165" s="52" t="s">
        <v>5223</v>
      </c>
      <c r="E165" s="52" t="s">
        <v>4362</v>
      </c>
      <c r="F165" s="69">
        <v>45783.0</v>
      </c>
      <c r="G165" s="52" t="s">
        <v>3917</v>
      </c>
      <c r="H165" s="52">
        <v>1.070963356E9</v>
      </c>
      <c r="I165" s="52" t="s">
        <v>4363</v>
      </c>
      <c r="J165" s="52" t="s">
        <v>912</v>
      </c>
      <c r="K165" s="52" t="s">
        <v>4927</v>
      </c>
      <c r="L165" s="52">
        <v>1.41573225E8</v>
      </c>
      <c r="M165" s="113">
        <v>45785.0</v>
      </c>
      <c r="N165" s="52" t="s">
        <v>4943</v>
      </c>
    </row>
    <row r="166">
      <c r="A166" s="52">
        <v>168.0</v>
      </c>
      <c r="B166" s="52" t="s">
        <v>4906</v>
      </c>
      <c r="C166" s="52">
        <v>2.0251000029923E13</v>
      </c>
      <c r="D166" s="52" t="s">
        <v>5224</v>
      </c>
      <c r="E166" s="52" t="s">
        <v>5225</v>
      </c>
      <c r="F166" s="69">
        <v>45783.0</v>
      </c>
      <c r="G166" s="52" t="s">
        <v>3917</v>
      </c>
      <c r="H166" s="52">
        <v>1.144139462E9</v>
      </c>
      <c r="I166" s="52" t="s">
        <v>5226</v>
      </c>
      <c r="J166" s="52" t="s">
        <v>2663</v>
      </c>
      <c r="K166" s="52" t="s">
        <v>4947</v>
      </c>
      <c r="L166" s="52">
        <v>1.48896125E8</v>
      </c>
      <c r="M166" s="113">
        <v>45790.0</v>
      </c>
      <c r="N166" s="52" t="s">
        <v>4925</v>
      </c>
    </row>
    <row r="167">
      <c r="A167" s="52">
        <v>169.0</v>
      </c>
      <c r="B167" s="52" t="s">
        <v>4906</v>
      </c>
      <c r="C167" s="52">
        <v>2.0251020029993E13</v>
      </c>
      <c r="D167" s="52" t="s">
        <v>5227</v>
      </c>
      <c r="E167" s="52" t="s">
        <v>5228</v>
      </c>
      <c r="F167" s="69">
        <v>45783.0</v>
      </c>
      <c r="G167" s="52" t="s">
        <v>3917</v>
      </c>
      <c r="H167" s="52">
        <v>3.6283216E7</v>
      </c>
      <c r="I167" s="52" t="s">
        <v>5229</v>
      </c>
      <c r="J167" s="52" t="s">
        <v>1232</v>
      </c>
      <c r="K167" s="52" t="s">
        <v>4976</v>
      </c>
      <c r="L167" s="52">
        <v>1.43794425E8</v>
      </c>
      <c r="M167" s="113">
        <v>45786.0</v>
      </c>
      <c r="N167" s="52" t="s">
        <v>5230</v>
      </c>
    </row>
    <row r="168">
      <c r="A168" s="52">
        <v>170.0</v>
      </c>
      <c r="B168" s="52" t="s">
        <v>4906</v>
      </c>
      <c r="C168" s="52">
        <v>2.0251900030053E13</v>
      </c>
      <c r="D168" s="52" t="s">
        <v>5231</v>
      </c>
      <c r="E168" s="52" t="s">
        <v>5232</v>
      </c>
      <c r="F168" s="69">
        <v>45783.0</v>
      </c>
      <c r="G168" s="52" t="s">
        <v>3917</v>
      </c>
      <c r="H168" s="52">
        <v>1.026579774E9</v>
      </c>
      <c r="I168" s="52" t="s">
        <v>4424</v>
      </c>
      <c r="J168" s="52" t="s">
        <v>433</v>
      </c>
      <c r="K168" s="52" t="s">
        <v>4908</v>
      </c>
      <c r="L168" s="52">
        <v>1.47119425E8</v>
      </c>
      <c r="M168" s="113">
        <v>45789.0</v>
      </c>
      <c r="N168" s="52" t="s">
        <v>5046</v>
      </c>
    </row>
    <row r="169">
      <c r="A169" s="52">
        <v>171.0</v>
      </c>
      <c r="B169" s="52" t="s">
        <v>4906</v>
      </c>
      <c r="C169" s="52">
        <v>2.0251000030093E13</v>
      </c>
      <c r="D169" s="52" t="s">
        <v>5233</v>
      </c>
      <c r="E169" s="52" t="s">
        <v>5234</v>
      </c>
      <c r="F169" s="69">
        <v>45783.0</v>
      </c>
      <c r="G169" s="52" t="s">
        <v>3917</v>
      </c>
      <c r="H169" s="52">
        <v>5.2151456E7</v>
      </c>
      <c r="I169" s="52" t="s">
        <v>4522</v>
      </c>
      <c r="J169" s="52" t="s">
        <v>2663</v>
      </c>
      <c r="K169" s="52" t="s">
        <v>4947</v>
      </c>
      <c r="L169" s="52">
        <v>1.47097125E8</v>
      </c>
      <c r="M169" s="113">
        <v>45789.0</v>
      </c>
      <c r="N169" s="52" t="s">
        <v>5104</v>
      </c>
    </row>
    <row r="170">
      <c r="A170" s="52">
        <v>172.0</v>
      </c>
      <c r="B170" s="52" t="s">
        <v>4906</v>
      </c>
      <c r="C170" s="52">
        <v>2.0251000030123E13</v>
      </c>
      <c r="D170" s="52" t="s">
        <v>5235</v>
      </c>
      <c r="E170" s="52" t="s">
        <v>1185</v>
      </c>
      <c r="F170" s="69">
        <v>45784.0</v>
      </c>
      <c r="G170" s="52" t="s">
        <v>3917</v>
      </c>
      <c r="H170" s="52">
        <v>5.5249794E7</v>
      </c>
      <c r="I170" s="52" t="s">
        <v>4827</v>
      </c>
      <c r="J170" s="52" t="s">
        <v>2663</v>
      </c>
      <c r="K170" s="52" t="s">
        <v>4947</v>
      </c>
      <c r="L170" s="52">
        <v>1.47132425E8</v>
      </c>
      <c r="M170" s="113">
        <v>45789.0</v>
      </c>
      <c r="N170" s="52" t="s">
        <v>5026</v>
      </c>
    </row>
    <row r="171">
      <c r="A171" s="52">
        <v>173.0</v>
      </c>
      <c r="B171" s="52" t="s">
        <v>4906</v>
      </c>
      <c r="C171" s="52">
        <v>2.0251000030113E13</v>
      </c>
      <c r="D171" s="52" t="s">
        <v>5236</v>
      </c>
      <c r="E171" s="52" t="s">
        <v>5237</v>
      </c>
      <c r="F171" s="69">
        <v>45784.0</v>
      </c>
      <c r="G171" s="52" t="s">
        <v>3917</v>
      </c>
      <c r="H171" s="52">
        <v>8.706746E7</v>
      </c>
      <c r="I171" s="52" t="s">
        <v>4619</v>
      </c>
      <c r="J171" s="52" t="s">
        <v>2663</v>
      </c>
      <c r="K171" s="52" t="s">
        <v>4947</v>
      </c>
      <c r="L171" s="52">
        <v>1.48173825E8</v>
      </c>
      <c r="M171" s="113">
        <v>45790.0</v>
      </c>
      <c r="N171" s="52" t="s">
        <v>4952</v>
      </c>
    </row>
    <row r="172">
      <c r="A172" s="52">
        <v>174.0</v>
      </c>
      <c r="B172" s="52" t="s">
        <v>4906</v>
      </c>
      <c r="C172" s="52">
        <v>2.0251000030133E13</v>
      </c>
      <c r="D172" s="52" t="s">
        <v>5238</v>
      </c>
      <c r="E172" s="52" t="s">
        <v>5239</v>
      </c>
      <c r="F172" s="69">
        <v>45784.0</v>
      </c>
      <c r="G172" s="52" t="s">
        <v>3917</v>
      </c>
      <c r="H172" s="52">
        <v>1.032497761E9</v>
      </c>
      <c r="I172" s="52" t="s">
        <v>4815</v>
      </c>
      <c r="J172" s="52" t="s">
        <v>2663</v>
      </c>
      <c r="K172" s="52" t="s">
        <v>4947</v>
      </c>
      <c r="L172" s="52">
        <v>1.48889025E8</v>
      </c>
      <c r="M172" s="113">
        <v>45790.0</v>
      </c>
      <c r="N172" s="52" t="s">
        <v>5240</v>
      </c>
    </row>
    <row r="173">
      <c r="A173" s="52">
        <v>175.0</v>
      </c>
      <c r="B173" s="52" t="s">
        <v>4906</v>
      </c>
      <c r="C173" s="52">
        <v>2.0251900030143E13</v>
      </c>
      <c r="D173" s="52" t="s">
        <v>5241</v>
      </c>
      <c r="E173" s="52" t="s">
        <v>4277</v>
      </c>
      <c r="F173" s="69">
        <v>45784.0</v>
      </c>
      <c r="G173" s="52" t="s">
        <v>3917</v>
      </c>
      <c r="H173" s="52">
        <v>1.032465103E9</v>
      </c>
      <c r="I173" s="52" t="s">
        <v>4278</v>
      </c>
      <c r="J173" s="52" t="s">
        <v>5242</v>
      </c>
      <c r="K173" s="52" t="s">
        <v>4908</v>
      </c>
      <c r="L173" s="52">
        <v>1.52311025E8</v>
      </c>
      <c r="M173" s="113">
        <v>45792.0</v>
      </c>
      <c r="N173" s="52" t="s">
        <v>4987</v>
      </c>
    </row>
    <row r="174">
      <c r="A174" s="52">
        <v>176.0</v>
      </c>
      <c r="B174" s="52" t="s">
        <v>4906</v>
      </c>
      <c r="C174" s="52">
        <v>2.0251500030153E13</v>
      </c>
      <c r="D174" s="52" t="s">
        <v>5243</v>
      </c>
      <c r="E174" s="52" t="s">
        <v>814</v>
      </c>
      <c r="F174" s="69">
        <v>45784.0</v>
      </c>
      <c r="G174" s="52" t="s">
        <v>3917</v>
      </c>
      <c r="H174" s="52">
        <v>1.015424748E9</v>
      </c>
      <c r="I174" s="52" t="s">
        <v>4477</v>
      </c>
      <c r="J174" s="52" t="s">
        <v>912</v>
      </c>
      <c r="K174" s="52" t="s">
        <v>4927</v>
      </c>
      <c r="L174" s="52">
        <v>1.48204425E8</v>
      </c>
      <c r="M174" s="113">
        <v>45790.0</v>
      </c>
      <c r="N174" s="52" t="s">
        <v>4943</v>
      </c>
    </row>
    <row r="175">
      <c r="A175" s="52">
        <v>177.0</v>
      </c>
      <c r="B175" s="52" t="s">
        <v>4906</v>
      </c>
      <c r="C175" s="52">
        <v>2.0251300030163E13</v>
      </c>
      <c r="D175" s="52" t="s">
        <v>5244</v>
      </c>
      <c r="E175" s="52" t="s">
        <v>2860</v>
      </c>
      <c r="F175" s="69">
        <v>45784.0</v>
      </c>
      <c r="G175" s="52" t="s">
        <v>3917</v>
      </c>
      <c r="H175" s="52">
        <v>7.9972544E7</v>
      </c>
      <c r="I175" s="52" t="s">
        <v>4148</v>
      </c>
      <c r="J175" s="52" t="s">
        <v>5245</v>
      </c>
      <c r="K175" s="52" t="s">
        <v>134</v>
      </c>
      <c r="L175" s="52">
        <v>1.48885425E8</v>
      </c>
      <c r="M175" s="113">
        <v>45790.0</v>
      </c>
      <c r="N175" s="52" t="s">
        <v>5246</v>
      </c>
    </row>
    <row r="176">
      <c r="A176" s="52">
        <v>178.0</v>
      </c>
      <c r="B176" s="52" t="s">
        <v>4906</v>
      </c>
      <c r="C176" s="52">
        <v>2.0251120030173E13</v>
      </c>
      <c r="D176" s="52" t="s">
        <v>5247</v>
      </c>
      <c r="E176" s="52" t="s">
        <v>525</v>
      </c>
      <c r="F176" s="69">
        <v>45784.0</v>
      </c>
      <c r="G176" s="52" t="s">
        <v>3917</v>
      </c>
      <c r="H176" s="52">
        <v>7687651.0</v>
      </c>
      <c r="I176" s="52" t="s">
        <v>3965</v>
      </c>
      <c r="J176" s="52" t="s">
        <v>4356</v>
      </c>
      <c r="K176" s="52" t="s">
        <v>4914</v>
      </c>
      <c r="L176" s="52">
        <v>1.39268425E8</v>
      </c>
      <c r="M176" s="113">
        <v>45784.0</v>
      </c>
      <c r="N176" s="52" t="s">
        <v>5155</v>
      </c>
    </row>
    <row r="177">
      <c r="A177" s="52">
        <v>179.0</v>
      </c>
      <c r="B177" s="52" t="s">
        <v>4906</v>
      </c>
      <c r="C177" s="52">
        <v>2.0251530030183E13</v>
      </c>
      <c r="D177" s="52" t="s">
        <v>5248</v>
      </c>
      <c r="E177" s="52" t="s">
        <v>5249</v>
      </c>
      <c r="F177" s="69">
        <v>45784.0</v>
      </c>
      <c r="G177" s="52" t="s">
        <v>3917</v>
      </c>
      <c r="H177" s="52">
        <v>1.088300611E9</v>
      </c>
      <c r="I177" s="52" t="s">
        <v>4432</v>
      </c>
      <c r="J177" s="52" t="s">
        <v>4433</v>
      </c>
      <c r="K177" s="52" t="s">
        <v>4927</v>
      </c>
      <c r="L177" s="52">
        <v>1.39288325E8</v>
      </c>
      <c r="M177" s="113">
        <v>45784.0</v>
      </c>
      <c r="N177" s="52" t="s">
        <v>4943</v>
      </c>
    </row>
    <row r="178">
      <c r="A178" s="52">
        <v>180.0</v>
      </c>
      <c r="B178" s="52" t="s">
        <v>4906</v>
      </c>
      <c r="C178" s="52">
        <v>2.0251610029943E13</v>
      </c>
      <c r="D178" s="52" t="s">
        <v>5250</v>
      </c>
      <c r="E178" s="52" t="s">
        <v>4455</v>
      </c>
      <c r="F178" s="69">
        <v>45784.0</v>
      </c>
      <c r="G178" s="52" t="s">
        <v>3917</v>
      </c>
      <c r="H178" s="52">
        <v>1.088351048E9</v>
      </c>
      <c r="I178" s="52" t="s">
        <v>4456</v>
      </c>
      <c r="J178" s="52" t="s">
        <v>557</v>
      </c>
      <c r="K178" s="52" t="s">
        <v>4938</v>
      </c>
      <c r="L178" s="52">
        <v>1.41586925E8</v>
      </c>
      <c r="M178" s="113">
        <v>45785.0</v>
      </c>
      <c r="N178" s="52" t="s">
        <v>5148</v>
      </c>
    </row>
    <row r="179">
      <c r="A179" s="52">
        <v>181.0</v>
      </c>
      <c r="B179" s="52" t="s">
        <v>4906</v>
      </c>
      <c r="C179" s="52">
        <v>2.0251800030223E13</v>
      </c>
      <c r="D179" s="52" t="s">
        <v>5251</v>
      </c>
      <c r="E179" s="52" t="s">
        <v>2755</v>
      </c>
      <c r="F179" s="69">
        <v>45784.0</v>
      </c>
      <c r="G179" s="52" t="s">
        <v>3917</v>
      </c>
      <c r="H179" s="52">
        <v>8.005725E7</v>
      </c>
      <c r="I179" s="52" t="s">
        <v>3991</v>
      </c>
      <c r="J179" s="52" t="s">
        <v>514</v>
      </c>
      <c r="K179" s="52" t="s">
        <v>4954</v>
      </c>
      <c r="L179" s="52">
        <v>1.41703925E8</v>
      </c>
      <c r="M179" s="113">
        <v>45785.0</v>
      </c>
      <c r="N179" s="52" t="s">
        <v>5123</v>
      </c>
    </row>
    <row r="180">
      <c r="A180" s="52">
        <v>182.0</v>
      </c>
      <c r="B180" s="52" t="s">
        <v>4906</v>
      </c>
      <c r="C180" s="52">
        <v>2.0251800030243E13</v>
      </c>
      <c r="D180" s="52" t="s">
        <v>5252</v>
      </c>
      <c r="E180" s="52" t="s">
        <v>5253</v>
      </c>
      <c r="F180" s="69">
        <v>45784.0</v>
      </c>
      <c r="G180" s="52" t="s">
        <v>3917</v>
      </c>
      <c r="H180" s="52">
        <v>1.3456486E7</v>
      </c>
      <c r="I180" s="52" t="s">
        <v>4158</v>
      </c>
      <c r="J180" s="52" t="s">
        <v>514</v>
      </c>
      <c r="K180" s="52" t="s">
        <v>4954</v>
      </c>
      <c r="L180" s="52">
        <v>1.41621825E8</v>
      </c>
      <c r="M180" s="113">
        <v>45785.0</v>
      </c>
      <c r="N180" s="52" t="s">
        <v>4941</v>
      </c>
    </row>
    <row r="181">
      <c r="A181" s="52">
        <v>183.0</v>
      </c>
      <c r="B181" s="52" t="s">
        <v>4906</v>
      </c>
      <c r="C181" s="52">
        <v>2.0251110030203E13</v>
      </c>
      <c r="D181" s="52" t="s">
        <v>5254</v>
      </c>
      <c r="E181" s="52" t="s">
        <v>750</v>
      </c>
      <c r="F181" s="69">
        <v>45784.0</v>
      </c>
      <c r="G181" s="52" t="s">
        <v>3917</v>
      </c>
      <c r="H181" s="52">
        <v>1.110503697E9</v>
      </c>
      <c r="I181" s="52" t="s">
        <v>4298</v>
      </c>
      <c r="J181" s="52" t="s">
        <v>2596</v>
      </c>
      <c r="K181" s="52" t="s">
        <v>4914</v>
      </c>
      <c r="L181" s="52">
        <v>1.53133225E8</v>
      </c>
      <c r="M181" s="113">
        <v>45793.0</v>
      </c>
      <c r="N181" s="52" t="s">
        <v>5255</v>
      </c>
    </row>
    <row r="182">
      <c r="A182" s="52">
        <v>184.0</v>
      </c>
      <c r="B182" s="52" t="s">
        <v>4906</v>
      </c>
      <c r="C182" s="52">
        <v>2.0251610029813E13</v>
      </c>
      <c r="D182" s="52" t="s">
        <v>5256</v>
      </c>
      <c r="E182" s="52" t="s">
        <v>4040</v>
      </c>
      <c r="F182" s="69">
        <v>45784.0</v>
      </c>
      <c r="G182" s="52" t="s">
        <v>3917</v>
      </c>
      <c r="H182" s="52">
        <v>1.100838461E9</v>
      </c>
      <c r="I182" s="52" t="s">
        <v>4041</v>
      </c>
      <c r="J182" s="52" t="s">
        <v>557</v>
      </c>
      <c r="K182" s="52" t="s">
        <v>4938</v>
      </c>
      <c r="L182" s="52">
        <v>1.53172925E8</v>
      </c>
      <c r="M182" s="113">
        <v>45793.0</v>
      </c>
      <c r="N182" s="52" t="s">
        <v>5155</v>
      </c>
    </row>
    <row r="183">
      <c r="A183" s="52">
        <v>185.0</v>
      </c>
      <c r="B183" s="52" t="s">
        <v>4906</v>
      </c>
      <c r="C183" s="52">
        <v>2.0251610030023E13</v>
      </c>
      <c r="D183" s="52" t="s">
        <v>5257</v>
      </c>
      <c r="E183" s="52" t="s">
        <v>1351</v>
      </c>
      <c r="F183" s="69">
        <v>45784.0</v>
      </c>
      <c r="G183" s="52" t="s">
        <v>3917</v>
      </c>
      <c r="H183" s="52">
        <v>1.193447899E9</v>
      </c>
      <c r="I183" s="52" t="s">
        <v>4026</v>
      </c>
      <c r="J183" s="52" t="s">
        <v>217</v>
      </c>
      <c r="K183" s="52" t="s">
        <v>4938</v>
      </c>
      <c r="L183" s="52">
        <v>1.53164725E8</v>
      </c>
      <c r="M183" s="113">
        <v>45793.0</v>
      </c>
      <c r="N183" s="52" t="s">
        <v>5258</v>
      </c>
    </row>
    <row r="184">
      <c r="A184" s="52">
        <v>186.0</v>
      </c>
      <c r="B184" s="52" t="s">
        <v>4906</v>
      </c>
      <c r="C184" s="52">
        <v>2.0251610029893E13</v>
      </c>
      <c r="D184" s="52" t="s">
        <v>5259</v>
      </c>
      <c r="E184" s="52" t="s">
        <v>285</v>
      </c>
      <c r="F184" s="69">
        <v>45784.0</v>
      </c>
      <c r="G184" s="52" t="s">
        <v>3917</v>
      </c>
      <c r="H184" s="52">
        <v>1.019089253E9</v>
      </c>
      <c r="I184" s="52" t="s">
        <v>4023</v>
      </c>
      <c r="J184" s="52" t="s">
        <v>4426</v>
      </c>
      <c r="K184" s="52" t="s">
        <v>4938</v>
      </c>
      <c r="L184" s="52">
        <v>1.53075025E8</v>
      </c>
      <c r="M184" s="113">
        <v>45793.0</v>
      </c>
      <c r="N184" s="52" t="s">
        <v>5155</v>
      </c>
    </row>
    <row r="185">
      <c r="A185" s="52">
        <v>187.0</v>
      </c>
      <c r="B185" s="52" t="s">
        <v>4906</v>
      </c>
      <c r="C185" s="52">
        <v>2.0251020030233E13</v>
      </c>
      <c r="D185" s="52" t="s">
        <v>5260</v>
      </c>
      <c r="E185" s="52" t="s">
        <v>542</v>
      </c>
      <c r="F185" s="69">
        <v>45784.0</v>
      </c>
      <c r="G185" s="52" t="s">
        <v>3917</v>
      </c>
      <c r="H185" s="52">
        <v>1.026299983E9</v>
      </c>
      <c r="I185" s="52" t="s">
        <v>4096</v>
      </c>
      <c r="J185" s="52" t="s">
        <v>4295</v>
      </c>
      <c r="K185" s="52" t="s">
        <v>4976</v>
      </c>
      <c r="L185" s="52">
        <v>1.53144225E8</v>
      </c>
      <c r="M185" s="113">
        <v>45793.0</v>
      </c>
      <c r="N185" s="52" t="s">
        <v>5261</v>
      </c>
    </row>
    <row r="186">
      <c r="A186" s="52">
        <v>188.0</v>
      </c>
      <c r="B186" s="52" t="s">
        <v>4906</v>
      </c>
      <c r="C186" s="52">
        <v>2.0251110029973E13</v>
      </c>
      <c r="D186" s="52" t="s">
        <v>5262</v>
      </c>
      <c r="E186" s="52" t="s">
        <v>5263</v>
      </c>
      <c r="F186" s="69">
        <v>45784.0</v>
      </c>
      <c r="G186" s="52" t="s">
        <v>4127</v>
      </c>
      <c r="H186" s="52">
        <v>8.00219876E8</v>
      </c>
      <c r="I186" s="52" t="s">
        <v>1923</v>
      </c>
      <c r="J186" s="52" t="s">
        <v>146</v>
      </c>
      <c r="K186" s="52" t="s">
        <v>4914</v>
      </c>
      <c r="L186" s="52">
        <v>1.71135425E8</v>
      </c>
      <c r="M186" s="113">
        <v>45804.0</v>
      </c>
      <c r="N186" s="52" t="s">
        <v>5264</v>
      </c>
    </row>
    <row r="187">
      <c r="A187" s="52">
        <v>189.0</v>
      </c>
      <c r="B187" s="52" t="s">
        <v>4906</v>
      </c>
      <c r="C187" s="52">
        <v>2.0251610030003E13</v>
      </c>
      <c r="D187" s="52" t="s">
        <v>5265</v>
      </c>
      <c r="E187" s="52" t="s">
        <v>411</v>
      </c>
      <c r="F187" s="69">
        <v>45784.0</v>
      </c>
      <c r="G187" s="52" t="s">
        <v>3917</v>
      </c>
      <c r="H187" s="52">
        <v>1.020804167E9</v>
      </c>
      <c r="I187" s="52" t="s">
        <v>4034</v>
      </c>
      <c r="J187" s="52" t="s">
        <v>4426</v>
      </c>
      <c r="K187" s="52" t="s">
        <v>4938</v>
      </c>
      <c r="L187" s="52">
        <v>1.43813225E8</v>
      </c>
      <c r="M187" s="113">
        <v>45786.0</v>
      </c>
      <c r="N187" s="52" t="s">
        <v>5266</v>
      </c>
    </row>
    <row r="188">
      <c r="A188" s="52">
        <v>190.0</v>
      </c>
      <c r="B188" s="52" t="s">
        <v>4906</v>
      </c>
      <c r="C188" s="52">
        <v>2.0251610030393E13</v>
      </c>
      <c r="D188" s="52" t="s">
        <v>5267</v>
      </c>
      <c r="E188" s="52" t="s">
        <v>875</v>
      </c>
      <c r="F188" s="69">
        <v>45784.0</v>
      </c>
      <c r="G188" s="52" t="s">
        <v>3917</v>
      </c>
      <c r="H188" s="52">
        <v>1.233693111E9</v>
      </c>
      <c r="I188" s="52" t="s">
        <v>4428</v>
      </c>
      <c r="J188" s="52" t="s">
        <v>4426</v>
      </c>
      <c r="K188" s="52" t="s">
        <v>4938</v>
      </c>
      <c r="L188" s="52">
        <v>1.47126125E8</v>
      </c>
      <c r="M188" s="113">
        <v>45789.0</v>
      </c>
      <c r="N188" s="52" t="s">
        <v>5268</v>
      </c>
    </row>
    <row r="189">
      <c r="A189" s="52">
        <v>191.0</v>
      </c>
      <c r="B189" s="52" t="s">
        <v>4906</v>
      </c>
      <c r="C189" s="52">
        <v>2.0251610030413E13</v>
      </c>
      <c r="D189" s="52" t="s">
        <v>5269</v>
      </c>
      <c r="E189" s="52" t="s">
        <v>653</v>
      </c>
      <c r="F189" s="69">
        <v>45784.0</v>
      </c>
      <c r="G189" s="52" t="s">
        <v>3917</v>
      </c>
      <c r="H189" s="52">
        <v>1.073236997E9</v>
      </c>
      <c r="I189" s="52" t="s">
        <v>4509</v>
      </c>
      <c r="J189" s="52" t="s">
        <v>557</v>
      </c>
      <c r="K189" s="52" t="s">
        <v>4938</v>
      </c>
      <c r="L189" s="52">
        <v>1.48180425E8</v>
      </c>
      <c r="M189" s="113">
        <v>45790.0</v>
      </c>
      <c r="N189" s="52" t="s">
        <v>5270</v>
      </c>
    </row>
    <row r="190">
      <c r="A190" s="52">
        <v>192.0</v>
      </c>
      <c r="B190" s="52" t="s">
        <v>4906</v>
      </c>
      <c r="C190" s="52">
        <v>2.0251610030463E13</v>
      </c>
      <c r="D190" s="52" t="s">
        <v>5271</v>
      </c>
      <c r="E190" s="52" t="s">
        <v>1009</v>
      </c>
      <c r="F190" s="69">
        <v>45784.0</v>
      </c>
      <c r="G190" s="52" t="s">
        <v>3917</v>
      </c>
      <c r="H190" s="52">
        <v>1.152204081E9</v>
      </c>
      <c r="I190" s="52" t="s">
        <v>4535</v>
      </c>
      <c r="J190" s="52" t="s">
        <v>874</v>
      </c>
      <c r="K190" s="52" t="s">
        <v>4938</v>
      </c>
      <c r="L190" s="52">
        <v>1.47100525E8</v>
      </c>
      <c r="M190" s="113">
        <v>45789.0</v>
      </c>
      <c r="N190" s="52" t="s">
        <v>4993</v>
      </c>
    </row>
    <row r="191">
      <c r="A191" s="52">
        <v>193.0</v>
      </c>
      <c r="B191" s="52" t="s">
        <v>4906</v>
      </c>
      <c r="C191" s="52">
        <v>2.0251020030263E13</v>
      </c>
      <c r="D191" s="52" t="s">
        <v>5272</v>
      </c>
      <c r="E191" s="52" t="s">
        <v>658</v>
      </c>
      <c r="F191" s="69">
        <v>45784.0</v>
      </c>
      <c r="G191" s="52" t="s">
        <v>3917</v>
      </c>
      <c r="H191" s="52">
        <v>7.9598641E7</v>
      </c>
      <c r="I191" s="52" t="s">
        <v>4388</v>
      </c>
      <c r="J191" s="52" t="s">
        <v>4295</v>
      </c>
      <c r="K191" s="52" t="s">
        <v>4976</v>
      </c>
      <c r="L191" s="52">
        <v>1.53146425E8</v>
      </c>
      <c r="M191" s="113">
        <v>45793.0</v>
      </c>
      <c r="N191" s="52" t="s">
        <v>5097</v>
      </c>
    </row>
    <row r="192">
      <c r="A192" s="52">
        <v>194.0</v>
      </c>
      <c r="B192" s="52" t="s">
        <v>4906</v>
      </c>
      <c r="C192" s="52">
        <v>2.0251020030313E13</v>
      </c>
      <c r="D192" s="52" t="s">
        <v>5273</v>
      </c>
      <c r="E192" s="52" t="s">
        <v>171</v>
      </c>
      <c r="F192" s="69">
        <v>45784.0</v>
      </c>
      <c r="G192" s="52" t="s">
        <v>3917</v>
      </c>
      <c r="H192" s="52">
        <v>1.014288171E9</v>
      </c>
      <c r="I192" s="52" t="s">
        <v>4093</v>
      </c>
      <c r="J192" s="52" t="s">
        <v>4295</v>
      </c>
      <c r="K192" s="52" t="s">
        <v>4976</v>
      </c>
      <c r="L192" s="52">
        <v>1.53089825E8</v>
      </c>
      <c r="M192" s="113">
        <v>45793.0</v>
      </c>
      <c r="N192" s="52" t="s">
        <v>4974</v>
      </c>
    </row>
    <row r="193">
      <c r="A193" s="52">
        <v>195.0</v>
      </c>
      <c r="B193" s="52" t="s">
        <v>4906</v>
      </c>
      <c r="C193" s="52">
        <v>2.0251610030383E13</v>
      </c>
      <c r="D193" s="52" t="s">
        <v>5274</v>
      </c>
      <c r="E193" s="52" t="s">
        <v>5275</v>
      </c>
      <c r="F193" s="69">
        <v>45784.0</v>
      </c>
      <c r="G193" s="52" t="s">
        <v>3917</v>
      </c>
      <c r="H193" s="52">
        <v>1.088340956E9</v>
      </c>
      <c r="I193" s="52" t="s">
        <v>4435</v>
      </c>
      <c r="J193" s="52" t="s">
        <v>4426</v>
      </c>
      <c r="K193" s="52" t="s">
        <v>4938</v>
      </c>
      <c r="L193" s="52">
        <v>1.54594125E8</v>
      </c>
      <c r="M193" s="113">
        <v>45796.0</v>
      </c>
      <c r="N193" s="52" t="s">
        <v>5276</v>
      </c>
    </row>
    <row r="194">
      <c r="A194" s="52">
        <v>196.0</v>
      </c>
      <c r="B194" s="52" t="s">
        <v>4906</v>
      </c>
      <c r="C194" s="52">
        <v>2.0251110030473E13</v>
      </c>
      <c r="D194" s="52" t="s">
        <v>5277</v>
      </c>
      <c r="E194" s="52" t="s">
        <v>3810</v>
      </c>
      <c r="F194" s="69">
        <v>45784.0</v>
      </c>
      <c r="G194" s="52" t="s">
        <v>4127</v>
      </c>
      <c r="H194" s="52">
        <v>9.00300823E8</v>
      </c>
      <c r="I194" s="52" t="s">
        <v>5278</v>
      </c>
      <c r="J194" s="52" t="s">
        <v>524</v>
      </c>
      <c r="K194" s="52" t="s">
        <v>4914</v>
      </c>
      <c r="L194" s="52">
        <v>1.54119625E8</v>
      </c>
      <c r="M194" s="113">
        <v>45796.0</v>
      </c>
      <c r="N194" s="52" t="s">
        <v>5279</v>
      </c>
    </row>
    <row r="195">
      <c r="A195" s="52">
        <v>197.0</v>
      </c>
      <c r="B195" s="52" t="s">
        <v>4906</v>
      </c>
      <c r="C195" s="52">
        <v>2.0251610030403E13</v>
      </c>
      <c r="D195" s="52" t="s">
        <v>5280</v>
      </c>
      <c r="E195" s="52" t="s">
        <v>770</v>
      </c>
      <c r="F195" s="69">
        <v>45784.0</v>
      </c>
      <c r="G195" s="52" t="s">
        <v>3917</v>
      </c>
      <c r="H195" s="52">
        <v>1.15245016E9</v>
      </c>
      <c r="I195" s="52" t="s">
        <v>4524</v>
      </c>
      <c r="J195" s="52" t="s">
        <v>874</v>
      </c>
      <c r="K195" s="52" t="s">
        <v>4938</v>
      </c>
      <c r="L195" s="52">
        <v>1.53116825E8</v>
      </c>
      <c r="M195" s="113">
        <v>45793.0</v>
      </c>
      <c r="N195" s="52" t="s">
        <v>5061</v>
      </c>
    </row>
    <row r="196">
      <c r="A196" s="52">
        <v>198.0</v>
      </c>
      <c r="B196" s="52" t="s">
        <v>4906</v>
      </c>
      <c r="C196" s="52">
        <v>2.0251500029653E13</v>
      </c>
      <c r="D196" s="52" t="s">
        <v>5281</v>
      </c>
      <c r="E196" s="52" t="s">
        <v>690</v>
      </c>
      <c r="F196" s="69">
        <v>45784.0</v>
      </c>
      <c r="G196" s="52" t="s">
        <v>3917</v>
      </c>
      <c r="H196" s="52">
        <v>1.072714553E9</v>
      </c>
      <c r="I196" s="52" t="s">
        <v>4381</v>
      </c>
      <c r="J196" s="52" t="s">
        <v>181</v>
      </c>
      <c r="K196" s="52" t="s">
        <v>4927</v>
      </c>
      <c r="L196" s="52">
        <v>1.47108425E8</v>
      </c>
      <c r="M196" s="113">
        <v>45789.0</v>
      </c>
      <c r="N196" s="52" t="s">
        <v>5121</v>
      </c>
    </row>
    <row r="197">
      <c r="A197" s="52">
        <v>199.0</v>
      </c>
      <c r="B197" s="52" t="s">
        <v>4906</v>
      </c>
      <c r="C197" s="52">
        <v>2.0251500029833E13</v>
      </c>
      <c r="D197" s="52" t="s">
        <v>5282</v>
      </c>
      <c r="E197" s="52" t="s">
        <v>247</v>
      </c>
      <c r="F197" s="69">
        <v>45784.0</v>
      </c>
      <c r="G197" s="52" t="s">
        <v>3917</v>
      </c>
      <c r="H197" s="52">
        <v>1.006772235E9</v>
      </c>
      <c r="I197" s="52" t="s">
        <v>4079</v>
      </c>
      <c r="J197" s="52" t="s">
        <v>4443</v>
      </c>
      <c r="K197" s="52" t="s">
        <v>4927</v>
      </c>
      <c r="L197" s="52">
        <v>1.48157625E8</v>
      </c>
      <c r="M197" s="113">
        <v>45790.0</v>
      </c>
      <c r="N197" s="52" t="s">
        <v>5283</v>
      </c>
    </row>
    <row r="198">
      <c r="A198" s="52">
        <v>200.0</v>
      </c>
      <c r="B198" s="52" t="s">
        <v>4906</v>
      </c>
      <c r="C198" s="52">
        <v>2.0251020030213E13</v>
      </c>
      <c r="D198" s="52" t="s">
        <v>5284</v>
      </c>
      <c r="E198" s="52" t="s">
        <v>3788</v>
      </c>
      <c r="F198" s="69">
        <v>45784.0</v>
      </c>
      <c r="G198" s="52" t="s">
        <v>3917</v>
      </c>
      <c r="H198" s="52">
        <v>5.3054857E7</v>
      </c>
      <c r="I198" s="52" t="s">
        <v>5285</v>
      </c>
      <c r="J198" s="52" t="s">
        <v>5286</v>
      </c>
      <c r="K198" s="52" t="s">
        <v>4976</v>
      </c>
      <c r="L198" s="52">
        <v>1.48891025E8</v>
      </c>
      <c r="M198" s="113">
        <v>45790.0</v>
      </c>
      <c r="N198" s="52" t="s">
        <v>4987</v>
      </c>
    </row>
    <row r="199">
      <c r="A199" s="52">
        <v>201.0</v>
      </c>
      <c r="B199" s="52" t="s">
        <v>4906</v>
      </c>
      <c r="C199" s="52">
        <v>2.0251500030273E13</v>
      </c>
      <c r="D199" s="52" t="s">
        <v>5287</v>
      </c>
      <c r="E199" s="52" t="s">
        <v>853</v>
      </c>
      <c r="F199" s="69">
        <v>45784.0</v>
      </c>
      <c r="G199" s="52" t="s">
        <v>3917</v>
      </c>
      <c r="H199" s="52">
        <v>1.022995967E9</v>
      </c>
      <c r="I199" s="52" t="s">
        <v>4483</v>
      </c>
      <c r="J199" s="52" t="s">
        <v>4443</v>
      </c>
      <c r="K199" s="52" t="s">
        <v>4927</v>
      </c>
      <c r="L199" s="52">
        <v>1.50698725E8</v>
      </c>
      <c r="M199" s="113">
        <v>45791.0</v>
      </c>
      <c r="N199" s="52" t="s">
        <v>5288</v>
      </c>
    </row>
    <row r="200">
      <c r="A200" s="52">
        <v>202.0</v>
      </c>
      <c r="B200" s="52" t="s">
        <v>4906</v>
      </c>
      <c r="C200" s="52">
        <v>2.0251500030433E13</v>
      </c>
      <c r="D200" s="52" t="s">
        <v>5289</v>
      </c>
      <c r="E200" s="52" t="s">
        <v>839</v>
      </c>
      <c r="F200" s="69">
        <v>45784.0</v>
      </c>
      <c r="G200" s="52" t="s">
        <v>3917</v>
      </c>
      <c r="H200" s="52">
        <v>1.030610778E9</v>
      </c>
      <c r="I200" s="52" t="s">
        <v>4479</v>
      </c>
      <c r="J200" s="52" t="s">
        <v>4443</v>
      </c>
      <c r="K200" s="52" t="s">
        <v>4927</v>
      </c>
      <c r="L200" s="52">
        <v>1.48895125E8</v>
      </c>
      <c r="M200" s="113">
        <v>45790.0</v>
      </c>
      <c r="N200" s="52" t="s">
        <v>4943</v>
      </c>
    </row>
    <row r="201">
      <c r="A201" s="52">
        <v>203.0</v>
      </c>
      <c r="B201" s="52" t="s">
        <v>4906</v>
      </c>
      <c r="C201" s="52">
        <v>2.0251610030423E13</v>
      </c>
      <c r="D201" s="52" t="s">
        <v>5290</v>
      </c>
      <c r="E201" s="52" t="s">
        <v>2804</v>
      </c>
      <c r="F201" s="69">
        <v>45784.0</v>
      </c>
      <c r="G201" s="52" t="s">
        <v>3917</v>
      </c>
      <c r="H201" s="52">
        <v>1.01020469E9</v>
      </c>
      <c r="I201" s="52" t="s">
        <v>4487</v>
      </c>
      <c r="J201" s="52" t="s">
        <v>557</v>
      </c>
      <c r="K201" s="52" t="s">
        <v>4938</v>
      </c>
      <c r="L201" s="52">
        <v>1.54118925E8</v>
      </c>
      <c r="M201" s="113">
        <v>45796.0</v>
      </c>
      <c r="N201" s="52" t="s">
        <v>5291</v>
      </c>
    </row>
    <row r="202">
      <c r="A202" s="52">
        <v>204.0</v>
      </c>
      <c r="B202" s="52" t="s">
        <v>4906</v>
      </c>
      <c r="C202" s="52">
        <v>2.0251610030453E13</v>
      </c>
      <c r="D202" s="52" t="s">
        <v>5292</v>
      </c>
      <c r="E202" s="52" t="s">
        <v>1072</v>
      </c>
      <c r="F202" s="69">
        <v>45784.0</v>
      </c>
      <c r="G202" s="52" t="s">
        <v>3917</v>
      </c>
      <c r="H202" s="52">
        <v>1.113638043E9</v>
      </c>
      <c r="I202" s="52" t="s">
        <v>4543</v>
      </c>
      <c r="J202" s="52" t="s">
        <v>874</v>
      </c>
      <c r="K202" s="52" t="s">
        <v>4938</v>
      </c>
      <c r="L202" s="52">
        <v>1.53123325E8</v>
      </c>
      <c r="M202" s="113">
        <v>45793.0</v>
      </c>
      <c r="N202" s="52" t="s">
        <v>5139</v>
      </c>
    </row>
    <row r="203">
      <c r="A203" s="52">
        <v>205.0</v>
      </c>
      <c r="B203" s="52" t="s">
        <v>4906</v>
      </c>
      <c r="C203" s="52">
        <v>2.0251800030553E13</v>
      </c>
      <c r="D203" s="52" t="s">
        <v>5293</v>
      </c>
      <c r="E203" s="52" t="s">
        <v>485</v>
      </c>
      <c r="F203" s="69">
        <v>45784.0</v>
      </c>
      <c r="G203" s="52" t="s">
        <v>3917</v>
      </c>
      <c r="H203" s="52">
        <v>7.4130577E7</v>
      </c>
      <c r="I203" s="52" t="s">
        <v>4131</v>
      </c>
      <c r="J203" s="52" t="s">
        <v>4333</v>
      </c>
      <c r="K203" s="52" t="s">
        <v>4954</v>
      </c>
      <c r="L203" s="52">
        <v>1.41729725E8</v>
      </c>
      <c r="M203" s="113">
        <v>45785.0</v>
      </c>
      <c r="N203" s="52" t="s">
        <v>5097</v>
      </c>
    </row>
    <row r="204">
      <c r="A204" s="52">
        <v>206.0</v>
      </c>
      <c r="B204" s="52" t="s">
        <v>4906</v>
      </c>
      <c r="C204" s="52">
        <v>2.0251000030573E13</v>
      </c>
      <c r="D204" s="52" t="s">
        <v>5294</v>
      </c>
      <c r="E204" s="52" t="s">
        <v>5295</v>
      </c>
      <c r="F204" s="69">
        <v>45784.0</v>
      </c>
      <c r="G204" s="52" t="s">
        <v>3917</v>
      </c>
      <c r="H204" s="52">
        <v>7.2218912E7</v>
      </c>
      <c r="I204" s="52" t="s">
        <v>5296</v>
      </c>
      <c r="J204" s="52" t="s">
        <v>2663</v>
      </c>
      <c r="K204" s="52" t="s">
        <v>4947</v>
      </c>
      <c r="L204" s="52">
        <v>1.47138225E8</v>
      </c>
      <c r="M204" s="113">
        <v>45789.0</v>
      </c>
      <c r="N204" s="52" t="s">
        <v>5297</v>
      </c>
    </row>
    <row r="205">
      <c r="A205" s="52">
        <v>207.0</v>
      </c>
      <c r="B205" s="52" t="s">
        <v>4906</v>
      </c>
      <c r="C205" s="52">
        <v>2.0251510030583E13</v>
      </c>
      <c r="D205" s="52" t="s">
        <v>5298</v>
      </c>
      <c r="E205" s="52" t="s">
        <v>1129</v>
      </c>
      <c r="F205" s="69">
        <v>45784.0</v>
      </c>
      <c r="G205" s="52" t="s">
        <v>3917</v>
      </c>
      <c r="H205" s="52">
        <v>1.083897571E9</v>
      </c>
      <c r="I205" s="52" t="s">
        <v>4493</v>
      </c>
      <c r="J205" s="52" t="s">
        <v>4494</v>
      </c>
      <c r="K205" s="52" t="s">
        <v>4927</v>
      </c>
      <c r="L205" s="52">
        <v>1.43657225E8</v>
      </c>
      <c r="M205" s="113">
        <v>45786.0</v>
      </c>
      <c r="N205" s="52" t="s">
        <v>4948</v>
      </c>
    </row>
    <row r="206">
      <c r="A206" s="52">
        <v>208.0</v>
      </c>
      <c r="B206" s="52" t="s">
        <v>4906</v>
      </c>
      <c r="C206" s="52">
        <v>2.0251700030593E13</v>
      </c>
      <c r="D206" s="52" t="s">
        <v>5299</v>
      </c>
      <c r="E206" s="52" t="s">
        <v>5300</v>
      </c>
      <c r="F206" s="69">
        <v>45784.0</v>
      </c>
      <c r="G206" s="52" t="s">
        <v>3917</v>
      </c>
      <c r="H206" s="52">
        <v>1.033684312E9</v>
      </c>
      <c r="I206" s="52" t="s">
        <v>4108</v>
      </c>
      <c r="J206" s="52" t="s">
        <v>4269</v>
      </c>
      <c r="K206" s="52" t="s">
        <v>4932</v>
      </c>
      <c r="L206" s="52">
        <v>1.43654525E8</v>
      </c>
      <c r="M206" s="113">
        <v>45786.0</v>
      </c>
      <c r="N206" s="52" t="s">
        <v>5148</v>
      </c>
    </row>
    <row r="207">
      <c r="A207" s="52">
        <v>209.0</v>
      </c>
      <c r="B207" s="52" t="s">
        <v>4906</v>
      </c>
      <c r="C207" s="52">
        <v>2.0251020030283E13</v>
      </c>
      <c r="D207" s="52" t="s">
        <v>5301</v>
      </c>
      <c r="E207" s="52" t="s">
        <v>1328</v>
      </c>
      <c r="F207" s="69">
        <v>45784.0</v>
      </c>
      <c r="G207" s="52" t="s">
        <v>3917</v>
      </c>
      <c r="H207" s="52">
        <v>1.125639792E9</v>
      </c>
      <c r="I207" s="52" t="s">
        <v>5302</v>
      </c>
      <c r="J207" s="52" t="s">
        <v>1232</v>
      </c>
      <c r="K207" s="52" t="s">
        <v>4976</v>
      </c>
      <c r="L207" s="52">
        <v>1.47133125E8</v>
      </c>
      <c r="M207" s="113">
        <v>45789.0</v>
      </c>
      <c r="N207" s="52" t="s">
        <v>5303</v>
      </c>
    </row>
    <row r="208">
      <c r="A208" s="52">
        <v>210.0</v>
      </c>
      <c r="B208" s="52" t="s">
        <v>4906</v>
      </c>
      <c r="C208" s="52">
        <v>2.0251020030563E13</v>
      </c>
      <c r="D208" s="52" t="s">
        <v>5304</v>
      </c>
      <c r="E208" s="52" t="s">
        <v>735</v>
      </c>
      <c r="F208" s="69">
        <v>45784.0</v>
      </c>
      <c r="G208" s="52" t="s">
        <v>3917</v>
      </c>
      <c r="H208" s="52">
        <v>1.121891311E9</v>
      </c>
      <c r="I208" s="52" t="s">
        <v>4344</v>
      </c>
      <c r="J208" s="52" t="s">
        <v>4295</v>
      </c>
      <c r="K208" s="52" t="s">
        <v>4976</v>
      </c>
      <c r="L208" s="52">
        <v>1.53156325E8</v>
      </c>
      <c r="M208" s="113">
        <v>45793.0</v>
      </c>
      <c r="N208" s="52" t="s">
        <v>5305</v>
      </c>
    </row>
    <row r="209">
      <c r="A209" s="52">
        <v>211.0</v>
      </c>
      <c r="B209" s="52" t="s">
        <v>4906</v>
      </c>
      <c r="C209" s="52">
        <v>2.0251610030013E13</v>
      </c>
      <c r="D209" s="52" t="s">
        <v>5306</v>
      </c>
      <c r="E209" s="52" t="s">
        <v>290</v>
      </c>
      <c r="F209" s="69">
        <v>45785.0</v>
      </c>
      <c r="G209" s="52" t="s">
        <v>3917</v>
      </c>
      <c r="H209" s="52">
        <v>1.014183131E9</v>
      </c>
      <c r="I209" s="52" t="s">
        <v>4102</v>
      </c>
      <c r="J209" s="52" t="s">
        <v>405</v>
      </c>
      <c r="K209" s="52" t="s">
        <v>4954</v>
      </c>
      <c r="L209" s="52">
        <v>1.53157825E8</v>
      </c>
      <c r="M209" s="113">
        <v>45793.0</v>
      </c>
      <c r="N209" s="52" t="s">
        <v>4993</v>
      </c>
    </row>
    <row r="210">
      <c r="A210" s="52">
        <v>212.0</v>
      </c>
      <c r="B210" s="52" t="s">
        <v>4906</v>
      </c>
      <c r="C210" s="52">
        <v>2.0251610030043E13</v>
      </c>
      <c r="D210" s="52" t="s">
        <v>5307</v>
      </c>
      <c r="E210" s="52" t="s">
        <v>740</v>
      </c>
      <c r="F210" s="69">
        <v>45785.0</v>
      </c>
      <c r="G210" s="52" t="s">
        <v>3917</v>
      </c>
      <c r="H210" s="52">
        <v>1.193095704E9</v>
      </c>
      <c r="I210" s="52" t="s">
        <v>4307</v>
      </c>
      <c r="J210" s="52" t="s">
        <v>405</v>
      </c>
      <c r="K210" s="52" t="s">
        <v>4954</v>
      </c>
      <c r="L210" s="52">
        <v>1.53159725E8</v>
      </c>
      <c r="M210" s="113">
        <v>45793.0</v>
      </c>
      <c r="N210" s="52" t="s">
        <v>4936</v>
      </c>
    </row>
    <row r="211">
      <c r="A211" s="52">
        <v>213.0</v>
      </c>
      <c r="B211" s="52" t="s">
        <v>4906</v>
      </c>
      <c r="C211" s="52">
        <v>2.0251610029613E13</v>
      </c>
      <c r="D211" s="52" t="s">
        <v>5308</v>
      </c>
      <c r="E211" s="52" t="s">
        <v>649</v>
      </c>
      <c r="F211" s="69">
        <v>45785.0</v>
      </c>
      <c r="G211" s="52" t="s">
        <v>3917</v>
      </c>
      <c r="H211" s="52">
        <v>1.016068292E9</v>
      </c>
      <c r="I211" s="52" t="s">
        <v>4566</v>
      </c>
      <c r="J211" s="52" t="s">
        <v>4360</v>
      </c>
      <c r="K211" s="52" t="s">
        <v>4938</v>
      </c>
      <c r="L211" s="52">
        <v>1.53163625E8</v>
      </c>
      <c r="M211" s="113">
        <v>45793.0</v>
      </c>
      <c r="N211" s="52" t="s">
        <v>5139</v>
      </c>
    </row>
    <row r="212">
      <c r="A212" s="52">
        <v>214.0</v>
      </c>
      <c r="B212" s="52" t="s">
        <v>4906</v>
      </c>
      <c r="C212" s="52">
        <v>2.0251610029633E13</v>
      </c>
      <c r="D212" s="52" t="s">
        <v>5309</v>
      </c>
      <c r="E212" s="52" t="s">
        <v>159</v>
      </c>
      <c r="F212" s="69">
        <v>45785.0</v>
      </c>
      <c r="G212" s="52" t="s">
        <v>3917</v>
      </c>
      <c r="H212" s="52">
        <v>1.018456896E9</v>
      </c>
      <c r="I212" s="52" t="s">
        <v>4050</v>
      </c>
      <c r="J212" s="52" t="s">
        <v>4360</v>
      </c>
      <c r="K212" s="52" t="s">
        <v>4938</v>
      </c>
      <c r="L212" s="52">
        <v>1.53166625E8</v>
      </c>
      <c r="M212" s="113">
        <v>45793.0</v>
      </c>
      <c r="N212" s="52" t="s">
        <v>5139</v>
      </c>
    </row>
    <row r="213">
      <c r="A213" s="52">
        <v>215.0</v>
      </c>
      <c r="B213" s="52" t="s">
        <v>4906</v>
      </c>
      <c r="C213" s="52">
        <v>2.0251610029623E13</v>
      </c>
      <c r="D213" s="52" t="s">
        <v>5310</v>
      </c>
      <c r="E213" s="52" t="s">
        <v>376</v>
      </c>
      <c r="F213" s="69">
        <v>45785.0</v>
      </c>
      <c r="G213" s="52" t="s">
        <v>3917</v>
      </c>
      <c r="H213" s="52">
        <v>1.075222248E9</v>
      </c>
      <c r="I213" s="52" t="s">
        <v>4047</v>
      </c>
      <c r="J213" s="52" t="s">
        <v>4360</v>
      </c>
      <c r="K213" s="52" t="s">
        <v>4938</v>
      </c>
      <c r="L213" s="52">
        <v>1.53169925E8</v>
      </c>
      <c r="M213" s="113">
        <v>45793.0</v>
      </c>
      <c r="N213" s="52" t="s">
        <v>5139</v>
      </c>
    </row>
    <row r="214">
      <c r="A214" s="52">
        <v>216.0</v>
      </c>
      <c r="B214" s="52" t="s">
        <v>4906</v>
      </c>
      <c r="C214" s="52">
        <v>2.0251300030623E13</v>
      </c>
      <c r="D214" s="52" t="s">
        <v>5311</v>
      </c>
      <c r="E214" s="52" t="s">
        <v>333</v>
      </c>
      <c r="F214" s="69">
        <v>45785.0</v>
      </c>
      <c r="G214" s="52" t="s">
        <v>3917</v>
      </c>
      <c r="H214" s="52">
        <v>8.0027001E7</v>
      </c>
      <c r="I214" s="52" t="s">
        <v>3985</v>
      </c>
      <c r="J214" s="52" t="s">
        <v>4392</v>
      </c>
      <c r="K214" s="52" t="s">
        <v>134</v>
      </c>
      <c r="L214" s="52">
        <v>1.47123925E8</v>
      </c>
      <c r="M214" s="113">
        <v>45789.0</v>
      </c>
      <c r="N214" s="52" t="s">
        <v>4952</v>
      </c>
    </row>
    <row r="215">
      <c r="A215" s="52">
        <v>217.0</v>
      </c>
      <c r="B215" s="52" t="s">
        <v>4906</v>
      </c>
      <c r="C215" s="52">
        <v>2.0251800030653E13</v>
      </c>
      <c r="D215" s="52" t="s">
        <v>5312</v>
      </c>
      <c r="E215" s="52" t="s">
        <v>401</v>
      </c>
      <c r="F215" s="69">
        <v>45785.0</v>
      </c>
      <c r="G215" s="52" t="s">
        <v>3917</v>
      </c>
      <c r="H215" s="52">
        <v>1.090383442E9</v>
      </c>
      <c r="I215" s="52" t="s">
        <v>3918</v>
      </c>
      <c r="J215" s="52" t="s">
        <v>405</v>
      </c>
      <c r="K215" s="52" t="s">
        <v>4954</v>
      </c>
      <c r="L215" s="52">
        <v>1.48904225E8</v>
      </c>
      <c r="M215" s="113">
        <v>45790.0</v>
      </c>
      <c r="N215" s="52" t="s">
        <v>4955</v>
      </c>
    </row>
    <row r="216">
      <c r="A216" s="52">
        <v>218.0</v>
      </c>
      <c r="B216" s="52" t="s">
        <v>4906</v>
      </c>
      <c r="C216" s="52">
        <v>2.0251020030663E13</v>
      </c>
      <c r="D216" s="52" t="s">
        <v>5313</v>
      </c>
      <c r="E216" s="52" t="s">
        <v>5314</v>
      </c>
      <c r="F216" s="69">
        <v>45785.0</v>
      </c>
      <c r="G216" s="52" t="s">
        <v>3917</v>
      </c>
      <c r="H216" s="52">
        <v>1.032460931E9</v>
      </c>
      <c r="I216" s="52" t="s">
        <v>4106</v>
      </c>
      <c r="J216" s="52" t="s">
        <v>4690</v>
      </c>
      <c r="K216" s="52" t="s">
        <v>4976</v>
      </c>
      <c r="L216" s="52">
        <v>1.47135525E8</v>
      </c>
      <c r="M216" s="113">
        <v>45789.0</v>
      </c>
      <c r="N216" s="52" t="s">
        <v>5315</v>
      </c>
    </row>
    <row r="217">
      <c r="A217" s="52">
        <v>219.0</v>
      </c>
      <c r="B217" s="52" t="s">
        <v>4906</v>
      </c>
      <c r="C217" s="52">
        <v>2.0251300030713E13</v>
      </c>
      <c r="D217" s="52" t="s">
        <v>5316</v>
      </c>
      <c r="E217" s="52" t="s">
        <v>1237</v>
      </c>
      <c r="F217" s="69">
        <v>45785.0</v>
      </c>
      <c r="G217" s="52" t="s">
        <v>4127</v>
      </c>
      <c r="H217" s="52">
        <v>9.00912034E8</v>
      </c>
      <c r="I217" s="52" t="s">
        <v>5317</v>
      </c>
      <c r="J217" s="52" t="s">
        <v>438</v>
      </c>
      <c r="K217" s="52" t="s">
        <v>134</v>
      </c>
      <c r="L217" s="52">
        <v>1.72408725E8</v>
      </c>
      <c r="M217" s="113">
        <v>45805.0</v>
      </c>
      <c r="N217" s="52" t="s">
        <v>5318</v>
      </c>
    </row>
    <row r="218">
      <c r="A218" s="52">
        <v>220.0</v>
      </c>
      <c r="B218" s="52" t="s">
        <v>4906</v>
      </c>
      <c r="C218" s="52">
        <v>2.0251000030763E13</v>
      </c>
      <c r="D218" s="52" t="s">
        <v>5319</v>
      </c>
      <c r="E218" s="52" t="s">
        <v>5320</v>
      </c>
      <c r="F218" s="69">
        <v>45785.0</v>
      </c>
      <c r="G218" s="52" t="s">
        <v>3917</v>
      </c>
      <c r="H218" s="52">
        <v>4.5546877E7</v>
      </c>
      <c r="I218" s="52" t="s">
        <v>4871</v>
      </c>
      <c r="J218" s="52" t="s">
        <v>4360</v>
      </c>
      <c r="K218" s="52" t="s">
        <v>4938</v>
      </c>
      <c r="L218" s="52">
        <v>1.52292025E8</v>
      </c>
      <c r="N218" s="52" t="s">
        <v>5052</v>
      </c>
    </row>
    <row r="219">
      <c r="A219" s="52">
        <v>221.0</v>
      </c>
      <c r="B219" s="52" t="s">
        <v>4906</v>
      </c>
      <c r="C219" s="52">
        <v>2.0251610029643E13</v>
      </c>
      <c r="D219" s="52" t="s">
        <v>5321</v>
      </c>
      <c r="E219" s="52" t="s">
        <v>212</v>
      </c>
      <c r="F219" s="69">
        <v>45785.0</v>
      </c>
      <c r="G219" s="52" t="s">
        <v>3917</v>
      </c>
      <c r="H219" s="52">
        <v>1.03249799E9</v>
      </c>
      <c r="I219" s="52" t="s">
        <v>5322</v>
      </c>
      <c r="J219" s="52" t="s">
        <v>1441</v>
      </c>
      <c r="K219" s="52" t="s">
        <v>4938</v>
      </c>
      <c r="L219" s="52">
        <v>1.54120825E8</v>
      </c>
      <c r="M219" s="113">
        <v>45796.0</v>
      </c>
      <c r="N219" s="52" t="s">
        <v>5323</v>
      </c>
    </row>
    <row r="220">
      <c r="A220" s="52">
        <v>222.0</v>
      </c>
      <c r="B220" s="52" t="s">
        <v>4906</v>
      </c>
      <c r="C220" s="52">
        <v>2.0251020030643E13</v>
      </c>
      <c r="D220" s="52" t="s">
        <v>5324</v>
      </c>
      <c r="E220" s="52" t="s">
        <v>2764</v>
      </c>
      <c r="F220" s="69">
        <v>45785.0</v>
      </c>
      <c r="G220" s="52" t="s">
        <v>3917</v>
      </c>
      <c r="H220" s="52">
        <v>8.0229481E7</v>
      </c>
      <c r="I220" s="52" t="s">
        <v>4754</v>
      </c>
      <c r="J220" s="52" t="s">
        <v>4690</v>
      </c>
      <c r="K220" s="52" t="s">
        <v>4976</v>
      </c>
      <c r="L220" s="52">
        <v>1.54120325E8</v>
      </c>
      <c r="M220" s="113">
        <v>45796.0</v>
      </c>
      <c r="N220" s="52" t="s">
        <v>5325</v>
      </c>
    </row>
    <row r="221">
      <c r="A221" s="52">
        <v>223.0</v>
      </c>
      <c r="B221" s="52" t="s">
        <v>4906</v>
      </c>
      <c r="C221" s="52">
        <v>2.0251610030673E13</v>
      </c>
      <c r="D221" s="52" t="s">
        <v>5326</v>
      </c>
      <c r="E221" s="52" t="s">
        <v>87</v>
      </c>
      <c r="F221" s="69">
        <v>45785.0</v>
      </c>
      <c r="G221" s="52" t="s">
        <v>3917</v>
      </c>
      <c r="H221" s="52">
        <v>1.02078112E9</v>
      </c>
      <c r="I221" s="52" t="s">
        <v>4087</v>
      </c>
      <c r="J221" s="52" t="s">
        <v>405</v>
      </c>
      <c r="K221" s="52" t="s">
        <v>4954</v>
      </c>
      <c r="L221" s="52">
        <v>1.53171225E8</v>
      </c>
      <c r="M221" s="113">
        <v>45793.0</v>
      </c>
      <c r="N221" s="52" t="s">
        <v>4993</v>
      </c>
    </row>
    <row r="222">
      <c r="A222" s="52">
        <v>224.0</v>
      </c>
      <c r="B222" s="52" t="s">
        <v>4906</v>
      </c>
      <c r="C222" s="52">
        <v>2.0251120030703E13</v>
      </c>
      <c r="D222" s="52" t="s">
        <v>5327</v>
      </c>
      <c r="E222" s="52" t="s">
        <v>237</v>
      </c>
      <c r="F222" s="69">
        <v>45785.0</v>
      </c>
      <c r="G222" s="52" t="s">
        <v>3917</v>
      </c>
      <c r="H222" s="52">
        <v>9.1251483E7</v>
      </c>
      <c r="I222" s="52" t="s">
        <v>4013</v>
      </c>
      <c r="J222" s="52" t="s">
        <v>4554</v>
      </c>
      <c r="K222" s="52" t="s">
        <v>4914</v>
      </c>
      <c r="L222" s="52">
        <v>1.54119925E8</v>
      </c>
      <c r="M222" s="113">
        <v>45796.0</v>
      </c>
      <c r="N222" s="52" t="s">
        <v>5155</v>
      </c>
    </row>
    <row r="223">
      <c r="A223" s="52">
        <v>225.0</v>
      </c>
      <c r="B223" s="52" t="s">
        <v>4906</v>
      </c>
      <c r="C223" s="52">
        <v>2.0251300030723E13</v>
      </c>
      <c r="D223" s="52" t="s">
        <v>5328</v>
      </c>
      <c r="E223" s="52" t="s">
        <v>434</v>
      </c>
      <c r="F223" s="69">
        <v>45785.0</v>
      </c>
      <c r="G223" s="52" t="s">
        <v>3917</v>
      </c>
      <c r="H223" s="52">
        <v>1.022406922E9</v>
      </c>
      <c r="I223" s="52" t="s">
        <v>4083</v>
      </c>
      <c r="J223" s="52" t="s">
        <v>438</v>
      </c>
      <c r="K223" s="52" t="s">
        <v>134</v>
      </c>
      <c r="L223" s="52">
        <v>1.53172225E8</v>
      </c>
      <c r="M223" s="113">
        <v>45793.0</v>
      </c>
      <c r="N223" s="52" t="s">
        <v>5329</v>
      </c>
    </row>
    <row r="224">
      <c r="A224" s="52">
        <v>226.0</v>
      </c>
      <c r="B224" s="52" t="s">
        <v>4906</v>
      </c>
      <c r="C224" s="52">
        <v>2.0251000030773E13</v>
      </c>
      <c r="D224" s="52" t="s">
        <v>5330</v>
      </c>
      <c r="E224" s="52" t="s">
        <v>5331</v>
      </c>
      <c r="F224" s="69">
        <v>45785.0</v>
      </c>
      <c r="G224" s="52" t="s">
        <v>3917</v>
      </c>
      <c r="H224" s="52">
        <v>1.102363429E9</v>
      </c>
      <c r="I224" s="52" t="s">
        <v>4777</v>
      </c>
      <c r="J224" s="52" t="s">
        <v>2663</v>
      </c>
      <c r="K224" s="52" t="s">
        <v>4947</v>
      </c>
      <c r="L224" s="52" t="s">
        <v>5332</v>
      </c>
      <c r="M224" s="113">
        <v>45791.0</v>
      </c>
      <c r="N224" s="52" t="s">
        <v>5333</v>
      </c>
    </row>
    <row r="225">
      <c r="A225" s="52">
        <v>227.0</v>
      </c>
      <c r="B225" s="52" t="s">
        <v>4906</v>
      </c>
      <c r="C225" s="52">
        <v>2.0251130030803E13</v>
      </c>
      <c r="D225" s="52" t="s">
        <v>5334</v>
      </c>
      <c r="E225" s="52" t="s">
        <v>5335</v>
      </c>
      <c r="F225" s="69">
        <v>45785.0</v>
      </c>
      <c r="G225" s="52" t="s">
        <v>3917</v>
      </c>
      <c r="H225" s="52">
        <v>7.9448382E7</v>
      </c>
      <c r="I225" s="52" t="s">
        <v>4064</v>
      </c>
      <c r="J225" s="52" t="s">
        <v>4725</v>
      </c>
      <c r="K225" s="52" t="s">
        <v>4914</v>
      </c>
      <c r="L225" s="52">
        <v>1.50613925E8</v>
      </c>
      <c r="M225" s="113">
        <v>45791.0</v>
      </c>
      <c r="N225" s="52" t="s">
        <v>4974</v>
      </c>
    </row>
    <row r="226">
      <c r="A226" s="52">
        <v>228.0</v>
      </c>
      <c r="B226" s="52" t="s">
        <v>4906</v>
      </c>
      <c r="C226" s="52">
        <v>2.0251700030853E13</v>
      </c>
      <c r="D226" s="52" t="s">
        <v>5336</v>
      </c>
      <c r="E226" s="52" t="s">
        <v>629</v>
      </c>
      <c r="F226" s="69">
        <v>45785.0</v>
      </c>
      <c r="G226" s="52" t="s">
        <v>3917</v>
      </c>
      <c r="H226" s="52">
        <v>5.3000155E7</v>
      </c>
      <c r="I226" s="52" t="s">
        <v>4303</v>
      </c>
      <c r="J226" s="52" t="s">
        <v>744</v>
      </c>
      <c r="K226" s="52" t="s">
        <v>4932</v>
      </c>
      <c r="L226" s="52">
        <v>1.50694725E8</v>
      </c>
      <c r="M226" s="113">
        <v>45791.0</v>
      </c>
      <c r="N226" s="52" t="s">
        <v>5067</v>
      </c>
    </row>
    <row r="227">
      <c r="A227" s="52">
        <v>229.0</v>
      </c>
      <c r="B227" s="52" t="s">
        <v>4906</v>
      </c>
      <c r="C227" s="52">
        <v>2.0251110030903E13</v>
      </c>
      <c r="D227" s="52" t="s">
        <v>5337</v>
      </c>
      <c r="E227" s="52" t="s">
        <v>519</v>
      </c>
      <c r="F227" s="69">
        <v>45786.0</v>
      </c>
      <c r="G227" s="52" t="s">
        <v>3917</v>
      </c>
      <c r="H227" s="52">
        <v>5.3082812E7</v>
      </c>
      <c r="I227" s="52" t="s">
        <v>4133</v>
      </c>
      <c r="J227" s="52" t="s">
        <v>524</v>
      </c>
      <c r="K227" s="52" t="s">
        <v>4914</v>
      </c>
      <c r="L227" s="52">
        <v>1.50639125E8</v>
      </c>
      <c r="M227" s="113">
        <v>45791.0</v>
      </c>
      <c r="N227" s="52" t="s">
        <v>4974</v>
      </c>
    </row>
    <row r="228">
      <c r="A228" s="52">
        <v>230.0</v>
      </c>
      <c r="B228" s="52" t="s">
        <v>4906</v>
      </c>
      <c r="C228" s="52">
        <v>2.0251900030923E13</v>
      </c>
      <c r="D228" s="52" t="s">
        <v>5338</v>
      </c>
      <c r="E228" s="52" t="s">
        <v>5339</v>
      </c>
      <c r="F228" s="69">
        <v>45786.0</v>
      </c>
      <c r="G228" s="52" t="s">
        <v>3917</v>
      </c>
      <c r="H228" s="52">
        <v>9.1013621E7</v>
      </c>
      <c r="I228" s="52" t="s">
        <v>4459</v>
      </c>
      <c r="J228" s="52" t="s">
        <v>551</v>
      </c>
      <c r="K228" s="52" t="s">
        <v>4908</v>
      </c>
      <c r="L228" s="52">
        <v>1.50641825E8</v>
      </c>
      <c r="M228" s="113">
        <v>45791.0</v>
      </c>
      <c r="N228" s="52" t="s">
        <v>4920</v>
      </c>
    </row>
    <row r="229">
      <c r="A229" s="52">
        <v>231.0</v>
      </c>
      <c r="B229" s="52" t="s">
        <v>4906</v>
      </c>
      <c r="C229" s="52">
        <v>2.0251110030933E13</v>
      </c>
      <c r="D229" s="52" t="s">
        <v>5340</v>
      </c>
      <c r="E229" s="52" t="s">
        <v>904</v>
      </c>
      <c r="F229" s="69">
        <v>45786.0</v>
      </c>
      <c r="G229" s="52" t="s">
        <v>3917</v>
      </c>
      <c r="H229" s="52">
        <v>1.049623315E9</v>
      </c>
      <c r="I229" s="52" t="s">
        <v>4507</v>
      </c>
      <c r="J229" s="52" t="s">
        <v>524</v>
      </c>
      <c r="K229" s="52" t="s">
        <v>4914</v>
      </c>
      <c r="L229" s="52">
        <v>1.47133725E8</v>
      </c>
      <c r="M229" s="113">
        <v>45789.0</v>
      </c>
      <c r="N229" s="52" t="s">
        <v>5341</v>
      </c>
    </row>
    <row r="230">
      <c r="A230" s="52">
        <v>232.0</v>
      </c>
      <c r="B230" s="52" t="s">
        <v>4906</v>
      </c>
      <c r="C230" s="52">
        <v>2.0251020030943E13</v>
      </c>
      <c r="D230" s="52" t="s">
        <v>5342</v>
      </c>
      <c r="E230" s="52" t="s">
        <v>358</v>
      </c>
      <c r="F230" s="69">
        <v>45786.0</v>
      </c>
      <c r="G230" s="52" t="s">
        <v>3917</v>
      </c>
      <c r="H230" s="52">
        <v>1.098310315E9</v>
      </c>
      <c r="I230" s="52" t="s">
        <v>3936</v>
      </c>
      <c r="J230" s="52" t="s">
        <v>1232</v>
      </c>
      <c r="K230" s="52" t="s">
        <v>4976</v>
      </c>
      <c r="L230" s="52">
        <v>1.47146125E8</v>
      </c>
      <c r="M230" s="113">
        <v>45789.0</v>
      </c>
      <c r="N230" s="52" t="s">
        <v>5177</v>
      </c>
    </row>
    <row r="231">
      <c r="A231" s="52">
        <v>233.0</v>
      </c>
      <c r="B231" s="52" t="s">
        <v>4906</v>
      </c>
      <c r="C231" s="52">
        <v>2.0251000030973E13</v>
      </c>
      <c r="D231" s="52" t="s">
        <v>5343</v>
      </c>
      <c r="E231" s="52" t="s">
        <v>370</v>
      </c>
      <c r="F231" s="69">
        <v>45786.0</v>
      </c>
      <c r="G231" s="52" t="s">
        <v>3917</v>
      </c>
      <c r="H231" s="52">
        <v>1.020752782E9</v>
      </c>
      <c r="I231" s="52" t="s">
        <v>4146</v>
      </c>
      <c r="J231" s="52" t="s">
        <v>657</v>
      </c>
      <c r="K231" s="52" t="s">
        <v>4947</v>
      </c>
      <c r="L231" s="52">
        <v>1.47144725E8</v>
      </c>
      <c r="M231" s="113">
        <v>45789.0</v>
      </c>
      <c r="N231" s="52" t="s">
        <v>4952</v>
      </c>
    </row>
    <row r="232">
      <c r="A232" s="52">
        <v>234.0</v>
      </c>
      <c r="B232" s="52" t="s">
        <v>4906</v>
      </c>
      <c r="C232" s="52">
        <v>2.0251000030963E13</v>
      </c>
      <c r="D232" s="52" t="s">
        <v>5344</v>
      </c>
      <c r="E232" s="52" t="s">
        <v>1143</v>
      </c>
      <c r="F232" s="69">
        <v>45786.0</v>
      </c>
      <c r="G232" s="52" t="s">
        <v>3917</v>
      </c>
      <c r="H232" s="52">
        <v>1.00022301E9</v>
      </c>
      <c r="I232" s="52" t="s">
        <v>4607</v>
      </c>
      <c r="J232" s="52" t="s">
        <v>657</v>
      </c>
      <c r="K232" s="52" t="s">
        <v>4947</v>
      </c>
      <c r="L232" s="52">
        <v>1.47140425E8</v>
      </c>
      <c r="M232" s="113">
        <v>45789.0</v>
      </c>
      <c r="N232" s="52" t="s">
        <v>5345</v>
      </c>
    </row>
    <row r="233">
      <c r="A233" s="52">
        <v>235.0</v>
      </c>
      <c r="B233" s="52" t="s">
        <v>4906</v>
      </c>
      <c r="C233" s="52">
        <v>2.0251130030893E13</v>
      </c>
      <c r="D233" s="52" t="s">
        <v>5346</v>
      </c>
      <c r="E233" s="52" t="s">
        <v>1169</v>
      </c>
      <c r="F233" s="69">
        <v>45789.0</v>
      </c>
      <c r="G233" s="52" t="s">
        <v>3917</v>
      </c>
      <c r="H233" s="52">
        <v>5.2959805E7</v>
      </c>
      <c r="I233" s="52" t="s">
        <v>4877</v>
      </c>
      <c r="J233" s="52" t="s">
        <v>274</v>
      </c>
      <c r="K233" s="52" t="s">
        <v>4914</v>
      </c>
      <c r="L233" s="52">
        <v>1.50611025E8</v>
      </c>
      <c r="M233" s="113">
        <v>45791.0</v>
      </c>
      <c r="N233" s="52" t="s">
        <v>5347</v>
      </c>
    </row>
    <row r="234">
      <c r="A234" s="52">
        <v>236.0</v>
      </c>
      <c r="B234" s="52" t="s">
        <v>4906</v>
      </c>
      <c r="C234" s="52">
        <v>2.0251130030883E13</v>
      </c>
      <c r="D234" s="52" t="s">
        <v>5348</v>
      </c>
      <c r="E234" s="52" t="s">
        <v>1155</v>
      </c>
      <c r="F234" s="69">
        <v>45789.0</v>
      </c>
      <c r="G234" s="52" t="s">
        <v>3917</v>
      </c>
      <c r="H234" s="52">
        <v>5.2220531E7</v>
      </c>
      <c r="I234" s="52" t="s">
        <v>4884</v>
      </c>
      <c r="J234" s="52" t="s">
        <v>274</v>
      </c>
      <c r="K234" s="52" t="s">
        <v>4914</v>
      </c>
      <c r="L234" s="52">
        <v>1.50697825E8</v>
      </c>
      <c r="M234" s="113">
        <v>45791.0</v>
      </c>
      <c r="N234" s="52" t="s">
        <v>5349</v>
      </c>
    </row>
    <row r="235">
      <c r="A235" s="52">
        <v>237.0</v>
      </c>
      <c r="B235" s="52" t="s">
        <v>4906</v>
      </c>
      <c r="C235" s="52">
        <v>2.0251000030953E13</v>
      </c>
      <c r="D235" s="52" t="s">
        <v>5350</v>
      </c>
      <c r="E235" s="52" t="s">
        <v>1190</v>
      </c>
      <c r="F235" s="69">
        <v>45789.0</v>
      </c>
      <c r="G235" s="52" t="s">
        <v>3917</v>
      </c>
      <c r="H235" s="52">
        <v>1.013658948E9</v>
      </c>
      <c r="I235" s="52" t="s">
        <v>4887</v>
      </c>
      <c r="J235" s="52" t="s">
        <v>99</v>
      </c>
      <c r="K235" s="52" t="s">
        <v>4947</v>
      </c>
      <c r="L235" s="52">
        <v>1.50643625E8</v>
      </c>
      <c r="M235" s="113">
        <v>45791.0</v>
      </c>
      <c r="N235" s="52" t="s">
        <v>5351</v>
      </c>
    </row>
    <row r="236">
      <c r="A236" s="52">
        <v>238.0</v>
      </c>
      <c r="B236" s="52" t="s">
        <v>4906</v>
      </c>
      <c r="C236" s="52">
        <v>2.0251020031013E13</v>
      </c>
      <c r="D236" s="52" t="s">
        <v>5352</v>
      </c>
      <c r="E236" s="52" t="s">
        <v>5353</v>
      </c>
      <c r="F236" s="69">
        <v>45789.0</v>
      </c>
      <c r="G236" s="52" t="s">
        <v>3917</v>
      </c>
      <c r="H236" s="52">
        <v>9.0145582E8</v>
      </c>
      <c r="I236" s="52" t="s">
        <v>4879</v>
      </c>
      <c r="J236" s="52" t="s">
        <v>4295</v>
      </c>
      <c r="K236" s="52" t="s">
        <v>4976</v>
      </c>
      <c r="L236" s="52">
        <v>1.55035125E8</v>
      </c>
      <c r="M236" s="113">
        <v>45796.0</v>
      </c>
      <c r="N236" s="52" t="s">
        <v>5117</v>
      </c>
    </row>
    <row r="237">
      <c r="A237" s="52">
        <v>239.0</v>
      </c>
      <c r="B237" s="52" t="s">
        <v>4906</v>
      </c>
      <c r="C237" s="52">
        <v>2.0251000031043E13</v>
      </c>
      <c r="D237" s="52" t="s">
        <v>5354</v>
      </c>
      <c r="E237" s="52" t="s">
        <v>5355</v>
      </c>
      <c r="F237" s="69">
        <v>45789.0</v>
      </c>
      <c r="G237" s="52" t="s">
        <v>3917</v>
      </c>
      <c r="H237" s="52">
        <v>1.088304014E9</v>
      </c>
      <c r="I237" s="52" t="s">
        <v>5356</v>
      </c>
      <c r="J237" s="52" t="s">
        <v>2663</v>
      </c>
      <c r="K237" s="52" t="s">
        <v>4947</v>
      </c>
      <c r="L237" s="52">
        <v>1.50703225E8</v>
      </c>
      <c r="M237" s="113">
        <v>45791.0</v>
      </c>
      <c r="N237" s="52" t="s">
        <v>5357</v>
      </c>
    </row>
    <row r="238">
      <c r="A238" s="52">
        <v>240.0</v>
      </c>
      <c r="B238" s="52" t="s">
        <v>4906</v>
      </c>
      <c r="C238" s="52">
        <v>2.0251140030983E13</v>
      </c>
      <c r="D238" s="52" t="s">
        <v>5358</v>
      </c>
      <c r="E238" s="52" t="s">
        <v>31</v>
      </c>
      <c r="F238" s="69">
        <v>45789.0</v>
      </c>
      <c r="G238" s="52" t="s">
        <v>3917</v>
      </c>
      <c r="H238" s="52">
        <v>1.075248422E9</v>
      </c>
      <c r="I238" s="52" t="s">
        <v>4043</v>
      </c>
      <c r="J238" s="52" t="s">
        <v>40</v>
      </c>
      <c r="K238" s="52" t="s">
        <v>4914</v>
      </c>
      <c r="L238" s="52">
        <v>1.54119225E8</v>
      </c>
      <c r="M238" s="113">
        <v>45796.0</v>
      </c>
      <c r="N238" s="52" t="s">
        <v>5359</v>
      </c>
    </row>
    <row r="239">
      <c r="A239" s="52">
        <v>241.0</v>
      </c>
      <c r="B239" s="52" t="s">
        <v>4906</v>
      </c>
      <c r="C239" s="52">
        <v>2.0251130031173E13</v>
      </c>
      <c r="D239" s="52" t="s">
        <v>5360</v>
      </c>
      <c r="E239" s="52" t="s">
        <v>1038</v>
      </c>
      <c r="F239" s="69">
        <v>45789.0</v>
      </c>
      <c r="G239" s="52" t="s">
        <v>4127</v>
      </c>
      <c r="H239" s="52">
        <v>8.30042244E8</v>
      </c>
      <c r="I239" s="52" t="s">
        <v>5361</v>
      </c>
      <c r="J239" s="52" t="s">
        <v>274</v>
      </c>
      <c r="K239" s="52" t="s">
        <v>4914</v>
      </c>
      <c r="L239" s="52">
        <v>1.57687125E8</v>
      </c>
      <c r="M239" s="113">
        <v>45797.0</v>
      </c>
      <c r="N239" s="52" t="s">
        <v>5362</v>
      </c>
    </row>
    <row r="240">
      <c r="A240" s="52">
        <v>242.0</v>
      </c>
      <c r="B240" s="52" t="s">
        <v>4906</v>
      </c>
      <c r="C240" s="52">
        <v>2.0251130031203E13</v>
      </c>
      <c r="D240" s="52" t="s">
        <v>5363</v>
      </c>
      <c r="E240" s="52" t="s">
        <v>5364</v>
      </c>
      <c r="F240" s="69">
        <v>45789.0</v>
      </c>
      <c r="G240" s="52" t="s">
        <v>4127</v>
      </c>
      <c r="H240" s="52">
        <v>8.60066942E8</v>
      </c>
      <c r="I240" s="52" t="s">
        <v>5365</v>
      </c>
      <c r="J240" s="52" t="s">
        <v>274</v>
      </c>
      <c r="K240" s="52" t="s">
        <v>4914</v>
      </c>
      <c r="L240" s="52">
        <v>1.34813325E8</v>
      </c>
      <c r="M240" s="113">
        <v>45783.0</v>
      </c>
      <c r="N240" s="52" t="s">
        <v>5366</v>
      </c>
    </row>
    <row r="241">
      <c r="A241" s="52">
        <v>243.0</v>
      </c>
      <c r="B241" s="52" t="s">
        <v>4906</v>
      </c>
      <c r="C241" s="52">
        <v>2.0251110031383E13</v>
      </c>
      <c r="D241" s="52" t="s">
        <v>5367</v>
      </c>
      <c r="E241" s="52" t="s">
        <v>5368</v>
      </c>
      <c r="F241" s="69">
        <v>45791.0</v>
      </c>
      <c r="G241" s="52" t="s">
        <v>4127</v>
      </c>
      <c r="H241" s="52">
        <v>8.11009788E8</v>
      </c>
      <c r="I241" s="52" t="s">
        <v>4166</v>
      </c>
      <c r="J241" s="52" t="s">
        <v>146</v>
      </c>
      <c r="K241" s="52" t="s">
        <v>4914</v>
      </c>
      <c r="L241" s="52">
        <v>1.55622925E8</v>
      </c>
      <c r="M241" s="113">
        <v>45796.0</v>
      </c>
      <c r="N241" s="52" t="s">
        <v>5369</v>
      </c>
    </row>
    <row r="242">
      <c r="A242" s="52">
        <v>244.0</v>
      </c>
      <c r="B242" s="52" t="s">
        <v>4906</v>
      </c>
      <c r="C242" s="52">
        <v>2.0251110031413E13</v>
      </c>
      <c r="D242" s="52" t="s">
        <v>5370</v>
      </c>
      <c r="E242" s="52" t="s">
        <v>5368</v>
      </c>
      <c r="F242" s="69">
        <v>45791.0</v>
      </c>
      <c r="G242" s="52" t="s">
        <v>4127</v>
      </c>
      <c r="H242" s="52">
        <v>8.11009788E8</v>
      </c>
      <c r="I242" s="52" t="s">
        <v>4166</v>
      </c>
      <c r="J242" s="52" t="s">
        <v>146</v>
      </c>
      <c r="K242" s="52" t="s">
        <v>4914</v>
      </c>
      <c r="L242" s="52">
        <v>1.55631625E8</v>
      </c>
      <c r="M242" s="113">
        <v>45796.0</v>
      </c>
      <c r="N242" s="52" t="s">
        <v>5371</v>
      </c>
    </row>
    <row r="243">
      <c r="A243" s="52">
        <v>245.0</v>
      </c>
      <c r="B243" s="52" t="s">
        <v>4906</v>
      </c>
      <c r="C243" s="52">
        <v>2.0251700031433E13</v>
      </c>
      <c r="D243" s="52" t="s">
        <v>5372</v>
      </c>
      <c r="E243" s="52" t="s">
        <v>5373</v>
      </c>
      <c r="F243" s="69">
        <v>45791.0</v>
      </c>
      <c r="G243" s="52" t="s">
        <v>3917</v>
      </c>
      <c r="H243" s="52">
        <v>1.1236019E7</v>
      </c>
      <c r="I243" s="52" t="s">
        <v>4557</v>
      </c>
      <c r="J243" s="52" t="s">
        <v>4269</v>
      </c>
      <c r="K243" s="52" t="s">
        <v>4932</v>
      </c>
      <c r="L243" s="52">
        <v>1.52297125E8</v>
      </c>
      <c r="M243" s="113">
        <v>45792.0</v>
      </c>
      <c r="N243" s="52" t="s">
        <v>5374</v>
      </c>
    </row>
    <row r="244">
      <c r="A244" s="52">
        <v>246.0</v>
      </c>
      <c r="B244" s="52" t="s">
        <v>4906</v>
      </c>
      <c r="C244" s="52">
        <v>2.0251900031443E13</v>
      </c>
      <c r="D244" s="52" t="s">
        <v>5375</v>
      </c>
      <c r="E244" s="52" t="s">
        <v>5376</v>
      </c>
      <c r="F244" s="69">
        <v>45791.0</v>
      </c>
      <c r="G244" s="52" t="s">
        <v>3917</v>
      </c>
      <c r="H244" s="52">
        <v>7.9434157E7</v>
      </c>
      <c r="I244" s="52" t="s">
        <v>4168</v>
      </c>
      <c r="J244" s="52" t="s">
        <v>4919</v>
      </c>
      <c r="K244" s="52" t="s">
        <v>4908</v>
      </c>
      <c r="L244" s="52">
        <v>1.52284125E8</v>
      </c>
      <c r="M244" s="113">
        <v>45792.0</v>
      </c>
      <c r="N244" s="52" t="s">
        <v>4987</v>
      </c>
    </row>
    <row r="245">
      <c r="A245" s="52">
        <v>247.0</v>
      </c>
      <c r="B245" s="52" t="s">
        <v>4906</v>
      </c>
      <c r="C245" s="52">
        <v>2.0251000031523E13</v>
      </c>
      <c r="D245" s="52" t="s">
        <v>5377</v>
      </c>
      <c r="E245" s="52" t="s">
        <v>5376</v>
      </c>
      <c r="F245" s="69">
        <v>45791.0</v>
      </c>
      <c r="G245" s="52" t="s">
        <v>3917</v>
      </c>
      <c r="H245" s="52">
        <v>1.136879313E9</v>
      </c>
      <c r="I245" s="52" t="s">
        <v>4144</v>
      </c>
      <c r="J245" s="52" t="s">
        <v>2663</v>
      </c>
      <c r="K245" s="52" t="s">
        <v>4947</v>
      </c>
      <c r="L245" s="52">
        <v>1.50709225E8</v>
      </c>
      <c r="M245" s="113">
        <v>45791.0</v>
      </c>
      <c r="N245" s="52" t="s">
        <v>5024</v>
      </c>
    </row>
    <row r="246">
      <c r="A246" s="52">
        <v>248.0</v>
      </c>
      <c r="B246" s="52" t="s">
        <v>4906</v>
      </c>
      <c r="C246" s="52">
        <v>2.0251000031543E13</v>
      </c>
      <c r="D246" s="52" t="s">
        <v>5378</v>
      </c>
      <c r="E246" s="52" t="s">
        <v>406</v>
      </c>
      <c r="F246" s="69">
        <v>45791.0</v>
      </c>
      <c r="G246" s="52" t="s">
        <v>3917</v>
      </c>
      <c r="H246" s="52">
        <v>1.032504965E9</v>
      </c>
      <c r="I246" s="52" t="s">
        <v>4116</v>
      </c>
      <c r="J246" s="52" t="s">
        <v>99</v>
      </c>
      <c r="K246" s="52" t="s">
        <v>4947</v>
      </c>
      <c r="L246" s="52">
        <v>1.57747025E8</v>
      </c>
      <c r="M246" s="113">
        <v>45797.0</v>
      </c>
      <c r="N246" s="52" t="s">
        <v>5268</v>
      </c>
    </row>
    <row r="247">
      <c r="A247" s="52">
        <v>249.0</v>
      </c>
      <c r="B247" s="52" t="s">
        <v>4906</v>
      </c>
      <c r="C247" s="52">
        <v>2.0251110031583E13</v>
      </c>
      <c r="D247" s="52" t="s">
        <v>5379</v>
      </c>
      <c r="E247" s="52" t="s">
        <v>4571</v>
      </c>
      <c r="F247" s="69">
        <v>45791.0</v>
      </c>
      <c r="G247" s="52" t="s">
        <v>4127</v>
      </c>
      <c r="H247" s="52">
        <v>8.60067479E8</v>
      </c>
      <c r="I247" s="52" t="s">
        <v>4572</v>
      </c>
      <c r="J247" s="52" t="s">
        <v>524</v>
      </c>
      <c r="K247" s="52" t="s">
        <v>4914</v>
      </c>
      <c r="L247" s="52">
        <v>1.52309525E8</v>
      </c>
      <c r="M247" s="113">
        <v>45792.0</v>
      </c>
      <c r="N247" s="52" t="s">
        <v>5380</v>
      </c>
    </row>
    <row r="248">
      <c r="A248" s="52">
        <v>250.0</v>
      </c>
      <c r="B248" s="52" t="s">
        <v>4906</v>
      </c>
      <c r="C248" s="52">
        <v>2.0251300031603E13</v>
      </c>
      <c r="D248" s="52" t="s">
        <v>5381</v>
      </c>
      <c r="E248" s="52" t="s">
        <v>5382</v>
      </c>
      <c r="F248" s="69">
        <v>45791.0</v>
      </c>
      <c r="G248" s="52" t="s">
        <v>4127</v>
      </c>
      <c r="H248" s="52">
        <v>9.01891536E8</v>
      </c>
      <c r="I248" s="52" t="s">
        <v>5383</v>
      </c>
      <c r="J248" s="52" t="s">
        <v>192</v>
      </c>
      <c r="K248" s="52" t="s">
        <v>134</v>
      </c>
      <c r="L248" s="52">
        <v>1.54074625E8</v>
      </c>
      <c r="M248" s="113">
        <v>45793.0</v>
      </c>
      <c r="N248" s="52" t="s">
        <v>5384</v>
      </c>
    </row>
    <row r="249">
      <c r="A249" s="52">
        <v>251.0</v>
      </c>
      <c r="B249" s="52" t="s">
        <v>4906</v>
      </c>
      <c r="C249" s="52">
        <v>2.0251000031713E13</v>
      </c>
      <c r="D249" s="52" t="s">
        <v>5385</v>
      </c>
      <c r="E249" s="52" t="s">
        <v>4112</v>
      </c>
      <c r="F249" s="69">
        <v>45792.0</v>
      </c>
      <c r="G249" s="52" t="s">
        <v>3917</v>
      </c>
      <c r="H249" s="52">
        <v>1.019065837E9</v>
      </c>
      <c r="I249" s="52" t="s">
        <v>4114</v>
      </c>
      <c r="J249" s="52" t="s">
        <v>99</v>
      </c>
      <c r="K249" s="52" t="s">
        <v>4947</v>
      </c>
      <c r="L249" s="52">
        <v>1.57746125E8</v>
      </c>
      <c r="M249" s="113">
        <v>45797.0</v>
      </c>
      <c r="N249" s="52" t="s">
        <v>5037</v>
      </c>
    </row>
    <row r="250">
      <c r="A250" s="52">
        <v>252.0</v>
      </c>
      <c r="B250" s="52" t="s">
        <v>4906</v>
      </c>
      <c r="C250" s="52">
        <v>2.0251800031733E13</v>
      </c>
      <c r="D250" s="52" t="s">
        <v>5386</v>
      </c>
      <c r="E250" s="52" t="s">
        <v>2846</v>
      </c>
      <c r="F250" s="69">
        <v>45792.0</v>
      </c>
      <c r="G250" s="52" t="s">
        <v>3917</v>
      </c>
      <c r="H250" s="52">
        <v>4.2145409E7</v>
      </c>
      <c r="I250" s="52" t="s">
        <v>4056</v>
      </c>
      <c r="J250" s="52" t="s">
        <v>405</v>
      </c>
      <c r="K250" s="52" t="s">
        <v>4954</v>
      </c>
      <c r="L250" s="52">
        <v>1.54085125E8</v>
      </c>
      <c r="M250" s="113">
        <v>45793.0</v>
      </c>
      <c r="N250" s="52" t="s">
        <v>4955</v>
      </c>
    </row>
    <row r="251">
      <c r="A251" s="52">
        <v>253.0</v>
      </c>
      <c r="B251" s="52" t="s">
        <v>4906</v>
      </c>
      <c r="C251" s="52">
        <v>2.0251020031783E13</v>
      </c>
      <c r="D251" s="52" t="s">
        <v>5387</v>
      </c>
      <c r="E251" s="52" t="s">
        <v>5388</v>
      </c>
      <c r="F251" s="69">
        <v>45792.0</v>
      </c>
      <c r="G251" s="52" t="s">
        <v>3917</v>
      </c>
      <c r="H251" s="52">
        <v>1.152693194E9</v>
      </c>
      <c r="I251" s="52" t="s">
        <v>4152</v>
      </c>
      <c r="J251" s="52" t="s">
        <v>4295</v>
      </c>
      <c r="K251" s="52" t="s">
        <v>4976</v>
      </c>
      <c r="L251" s="52">
        <v>1.57979925E8</v>
      </c>
      <c r="M251" s="113">
        <v>45798.0</v>
      </c>
      <c r="N251" s="52" t="s">
        <v>5037</v>
      </c>
    </row>
    <row r="252">
      <c r="A252" s="52">
        <v>254.0</v>
      </c>
      <c r="B252" s="52" t="s">
        <v>4906</v>
      </c>
      <c r="C252" s="52">
        <v>2.0251020031823E13</v>
      </c>
      <c r="D252" s="52" t="s">
        <v>5389</v>
      </c>
      <c r="E252" s="52" t="s">
        <v>1002</v>
      </c>
      <c r="F252" s="69">
        <v>45792.0</v>
      </c>
      <c r="G252" s="52" t="s">
        <v>3917</v>
      </c>
      <c r="H252" s="52">
        <v>1.015440358E9</v>
      </c>
      <c r="I252" s="52" t="s">
        <v>4581</v>
      </c>
      <c r="J252" s="52" t="s">
        <v>4295</v>
      </c>
      <c r="K252" s="52" t="s">
        <v>4976</v>
      </c>
      <c r="L252" s="52">
        <v>1.57978025E8</v>
      </c>
      <c r="M252" s="113">
        <v>45798.0</v>
      </c>
      <c r="N252" s="52" t="s">
        <v>5050</v>
      </c>
    </row>
    <row r="253">
      <c r="A253" s="52">
        <v>255.0</v>
      </c>
      <c r="B253" s="52" t="s">
        <v>4906</v>
      </c>
      <c r="C253" s="52">
        <v>2.0251300031833E13</v>
      </c>
      <c r="D253" s="52" t="s">
        <v>5390</v>
      </c>
      <c r="E253" s="52" t="s">
        <v>4124</v>
      </c>
      <c r="F253" s="69">
        <v>45793.0</v>
      </c>
      <c r="G253" s="52" t="s">
        <v>3917</v>
      </c>
      <c r="H253" s="52">
        <v>8.0797794E7</v>
      </c>
      <c r="I253" s="52" t="s">
        <v>4125</v>
      </c>
      <c r="J253" s="52" t="s">
        <v>593</v>
      </c>
      <c r="K253" s="52" t="s">
        <v>134</v>
      </c>
      <c r="L253" s="52">
        <v>1.55014525E8</v>
      </c>
      <c r="M253" s="113">
        <v>45796.0</v>
      </c>
      <c r="N253" s="52" t="s">
        <v>5026</v>
      </c>
    </row>
    <row r="254">
      <c r="A254" s="52">
        <v>257.0</v>
      </c>
      <c r="B254" s="52" t="s">
        <v>4906</v>
      </c>
      <c r="C254" s="52">
        <v>2.0251020031973E13</v>
      </c>
      <c r="D254" s="52" t="s">
        <v>5391</v>
      </c>
      <c r="E254" s="52" t="s">
        <v>1147</v>
      </c>
      <c r="F254" s="69">
        <v>45796.0</v>
      </c>
      <c r="G254" s="52" t="s">
        <v>3917</v>
      </c>
      <c r="H254" s="52">
        <v>7.9942061E7</v>
      </c>
      <c r="I254" s="52" t="s">
        <v>4824</v>
      </c>
      <c r="J254" s="52" t="s">
        <v>4703</v>
      </c>
      <c r="K254" s="52" t="s">
        <v>4976</v>
      </c>
      <c r="L254" s="52">
        <v>1.73495325E8</v>
      </c>
      <c r="M254" s="113">
        <v>45805.0</v>
      </c>
      <c r="N254" s="52" t="s">
        <v>5148</v>
      </c>
    </row>
    <row r="255">
      <c r="A255" s="52">
        <v>258.0</v>
      </c>
      <c r="B255" s="52" t="s">
        <v>4906</v>
      </c>
      <c r="C255" s="52">
        <v>2.0251020031983E13</v>
      </c>
      <c r="D255" s="52" t="s">
        <v>5392</v>
      </c>
      <c r="E255" s="52" t="s">
        <v>718</v>
      </c>
      <c r="F255" s="69">
        <v>45796.0</v>
      </c>
      <c r="G255" s="52" t="s">
        <v>3917</v>
      </c>
      <c r="H255" s="52">
        <v>5.530598E7</v>
      </c>
      <c r="I255" s="52" t="s">
        <v>4511</v>
      </c>
      <c r="J255" s="52" t="s">
        <v>4703</v>
      </c>
      <c r="K255" s="52" t="s">
        <v>4976</v>
      </c>
      <c r="L255" s="52">
        <v>1.55634025E8</v>
      </c>
      <c r="M255" s="113">
        <v>45796.0</v>
      </c>
      <c r="N255" s="52" t="s">
        <v>5052</v>
      </c>
    </row>
    <row r="256">
      <c r="A256" s="52">
        <v>259.0</v>
      </c>
      <c r="B256" s="52" t="s">
        <v>4906</v>
      </c>
      <c r="C256" s="52">
        <v>2.0251000032103E13</v>
      </c>
      <c r="D256" s="52" t="s">
        <v>5393</v>
      </c>
      <c r="E256" s="52" t="s">
        <v>5394</v>
      </c>
      <c r="F256" s="69">
        <v>45796.0</v>
      </c>
      <c r="G256" s="52" t="s">
        <v>3917</v>
      </c>
      <c r="H256" s="52">
        <v>1.049646618E9</v>
      </c>
      <c r="I256" s="52" t="s">
        <v>4528</v>
      </c>
      <c r="J256" s="52" t="s">
        <v>2663</v>
      </c>
      <c r="K256" s="52" t="s">
        <v>4947</v>
      </c>
      <c r="L256" s="52">
        <v>1.57742125E8</v>
      </c>
      <c r="M256" s="113">
        <v>45797.0</v>
      </c>
      <c r="N256" s="52" t="s">
        <v>5395</v>
      </c>
    </row>
    <row r="257">
      <c r="A257" s="52">
        <v>260.0</v>
      </c>
      <c r="B257" s="52" t="s">
        <v>4906</v>
      </c>
      <c r="C257" s="52">
        <v>2.0251140032183E13</v>
      </c>
      <c r="D257" s="52" t="s">
        <v>5396</v>
      </c>
      <c r="E257" s="52" t="s">
        <v>73</v>
      </c>
      <c r="F257" s="69">
        <v>45796.0</v>
      </c>
      <c r="G257" s="52" t="s">
        <v>3917</v>
      </c>
      <c r="H257" s="52">
        <v>3.9464093E7</v>
      </c>
      <c r="I257" s="52" t="s">
        <v>4184</v>
      </c>
      <c r="J257" s="52" t="s">
        <v>40</v>
      </c>
      <c r="K257" s="52" t="s">
        <v>4914</v>
      </c>
      <c r="L257" s="52">
        <v>1.59441625E8</v>
      </c>
      <c r="M257" s="113">
        <v>45798.0</v>
      </c>
      <c r="N257" s="52" t="s">
        <v>5397</v>
      </c>
    </row>
    <row r="258">
      <c r="A258" s="52">
        <v>261.0</v>
      </c>
      <c r="B258" s="52" t="s">
        <v>4906</v>
      </c>
      <c r="C258" s="52">
        <v>2.0251700032223E13</v>
      </c>
      <c r="D258" s="52" t="s">
        <v>5398</v>
      </c>
      <c r="E258" s="52" t="s">
        <v>5399</v>
      </c>
      <c r="F258" s="69">
        <v>45796.0</v>
      </c>
      <c r="G258" s="52" t="s">
        <v>3917</v>
      </c>
      <c r="H258" s="52">
        <v>1.015393939E9</v>
      </c>
      <c r="I258" s="52" t="s">
        <v>4162</v>
      </c>
      <c r="J258" s="52" t="s">
        <v>4472</v>
      </c>
      <c r="K258" s="52" t="s">
        <v>4932</v>
      </c>
      <c r="L258" s="52">
        <v>1.59441925E8</v>
      </c>
      <c r="M258" s="113">
        <v>45798.0</v>
      </c>
      <c r="N258" s="52" t="s">
        <v>5067</v>
      </c>
    </row>
    <row r="259">
      <c r="A259" s="52">
        <v>262.0</v>
      </c>
      <c r="B259" s="52" t="s">
        <v>4906</v>
      </c>
      <c r="C259" s="52">
        <v>2.0251120032153E13</v>
      </c>
      <c r="D259" s="52" t="s">
        <v>5400</v>
      </c>
      <c r="E259" s="52" t="s">
        <v>4186</v>
      </c>
      <c r="F259" s="69">
        <v>45796.0</v>
      </c>
      <c r="G259" s="52" t="s">
        <v>4127</v>
      </c>
      <c r="H259" s="52">
        <v>8.0015028E8</v>
      </c>
      <c r="I259" s="52" t="s">
        <v>4188</v>
      </c>
      <c r="J259" s="52" t="s">
        <v>4604</v>
      </c>
      <c r="K259" s="52" t="s">
        <v>4914</v>
      </c>
      <c r="L259" s="52">
        <v>1.61936025E8</v>
      </c>
      <c r="M259" s="113">
        <v>45800.0</v>
      </c>
      <c r="N259" s="52" t="s">
        <v>5401</v>
      </c>
    </row>
    <row r="260">
      <c r="A260" s="52">
        <v>263.0</v>
      </c>
      <c r="B260" s="52" t="s">
        <v>4906</v>
      </c>
      <c r="C260" s="52">
        <v>2.0251900032403E13</v>
      </c>
      <c r="D260" s="52" t="s">
        <v>5152</v>
      </c>
      <c r="E260" s="52" t="s">
        <v>547</v>
      </c>
      <c r="F260" s="69">
        <v>45797.0</v>
      </c>
      <c r="G260" s="52" t="s">
        <v>3917</v>
      </c>
      <c r="H260" s="52">
        <v>2.6203478E7</v>
      </c>
      <c r="I260" s="52" t="s">
        <v>3995</v>
      </c>
      <c r="J260" s="52" t="s">
        <v>551</v>
      </c>
      <c r="K260" s="52" t="s">
        <v>4908</v>
      </c>
      <c r="L260" s="52">
        <v>1.57747225E8</v>
      </c>
      <c r="M260" s="113">
        <v>45797.0</v>
      </c>
      <c r="N260" s="52" t="s">
        <v>4987</v>
      </c>
    </row>
    <row r="261">
      <c r="A261" s="52">
        <v>264.0</v>
      </c>
      <c r="B261" s="52" t="s">
        <v>4906</v>
      </c>
      <c r="C261" s="52">
        <v>2.0251000032423E13</v>
      </c>
      <c r="D261" s="52" t="s">
        <v>5402</v>
      </c>
      <c r="E261" s="52" t="s">
        <v>5403</v>
      </c>
      <c r="F261" s="69">
        <v>45797.0</v>
      </c>
      <c r="G261" s="52" t="s">
        <v>3917</v>
      </c>
      <c r="H261" s="52">
        <v>1.031141613E9</v>
      </c>
      <c r="I261" s="52" t="s">
        <v>4533</v>
      </c>
      <c r="J261" s="52" t="s">
        <v>2663</v>
      </c>
      <c r="K261" s="52" t="s">
        <v>4947</v>
      </c>
      <c r="L261" s="52">
        <v>1.59444525E8</v>
      </c>
      <c r="M261" s="113">
        <v>45798.0</v>
      </c>
      <c r="N261" s="52" t="s">
        <v>5080</v>
      </c>
    </row>
    <row r="262">
      <c r="A262" s="52">
        <v>265.0</v>
      </c>
      <c r="B262" s="52" t="s">
        <v>4906</v>
      </c>
      <c r="C262" s="52">
        <v>2.0251010032503E13</v>
      </c>
      <c r="D262" s="52" t="s">
        <v>5404</v>
      </c>
      <c r="E262" s="52" t="s">
        <v>582</v>
      </c>
      <c r="F262" s="69">
        <v>45797.0</v>
      </c>
      <c r="G262" s="52" t="s">
        <v>3917</v>
      </c>
      <c r="H262" s="52">
        <v>1.13065411E9</v>
      </c>
      <c r="I262" s="52" t="s">
        <v>3955</v>
      </c>
      <c r="J262" s="52" t="s">
        <v>127</v>
      </c>
      <c r="K262" s="52" t="s">
        <v>4922</v>
      </c>
      <c r="L262" s="52">
        <v>1.59445225E8</v>
      </c>
      <c r="M262" s="113">
        <v>45798.0</v>
      </c>
      <c r="N262" s="52" t="s">
        <v>4974</v>
      </c>
    </row>
    <row r="263">
      <c r="A263" s="52">
        <v>266.0</v>
      </c>
      <c r="B263" s="52" t="s">
        <v>4906</v>
      </c>
      <c r="C263" s="52">
        <v>2.0251000032533E13</v>
      </c>
      <c r="D263" s="52" t="s">
        <v>5405</v>
      </c>
      <c r="E263" s="52" t="s">
        <v>5403</v>
      </c>
      <c r="F263" s="69">
        <v>45798.0</v>
      </c>
      <c r="G263" s="52" t="s">
        <v>3917</v>
      </c>
      <c r="H263" s="52">
        <v>5.2802056E7</v>
      </c>
      <c r="I263" s="52" t="s">
        <v>4526</v>
      </c>
      <c r="J263" s="52" t="s">
        <v>2663</v>
      </c>
      <c r="K263" s="52" t="s">
        <v>4947</v>
      </c>
      <c r="L263" s="52">
        <v>1.59445725E8</v>
      </c>
      <c r="M263" s="113">
        <v>45798.0</v>
      </c>
      <c r="N263" s="52" t="s">
        <v>5406</v>
      </c>
    </row>
    <row r="264">
      <c r="A264" s="52">
        <v>267.0</v>
      </c>
      <c r="B264" s="52" t="s">
        <v>4906</v>
      </c>
      <c r="C264" s="52">
        <v>2.0251400032623E13</v>
      </c>
      <c r="D264" s="52" t="s">
        <v>5407</v>
      </c>
      <c r="E264" s="52" t="s">
        <v>5408</v>
      </c>
      <c r="F264" s="69">
        <v>45798.0</v>
      </c>
      <c r="G264" s="52" t="s">
        <v>3917</v>
      </c>
      <c r="H264" s="52">
        <v>8.0076408E7</v>
      </c>
      <c r="I264" s="52" t="s">
        <v>3981</v>
      </c>
      <c r="J264" s="52" t="s">
        <v>112</v>
      </c>
      <c r="K264" s="52" t="s">
        <v>4963</v>
      </c>
      <c r="L264" s="52">
        <v>1.61389325E8</v>
      </c>
      <c r="M264" s="113">
        <v>45799.0</v>
      </c>
      <c r="N264" s="52" t="s">
        <v>5409</v>
      </c>
    </row>
    <row r="265">
      <c r="A265" s="52">
        <v>268.0</v>
      </c>
      <c r="B265" s="52" t="s">
        <v>4906</v>
      </c>
      <c r="C265" s="52">
        <v>2.0251300032643E13</v>
      </c>
      <c r="D265" s="52" t="s">
        <v>5410</v>
      </c>
      <c r="E265" s="52" t="s">
        <v>4178</v>
      </c>
      <c r="F265" s="69">
        <v>45798.0</v>
      </c>
      <c r="G265" s="52" t="s">
        <v>4127</v>
      </c>
      <c r="H265" s="52">
        <v>8.99999115E8</v>
      </c>
      <c r="I265" s="52" t="s">
        <v>4625</v>
      </c>
      <c r="J265" s="52" t="s">
        <v>4358</v>
      </c>
      <c r="K265" s="52" t="s">
        <v>134</v>
      </c>
      <c r="L265" s="52">
        <v>1.50715325E8</v>
      </c>
      <c r="M265" s="113">
        <v>45791.0</v>
      </c>
      <c r="N265" s="52" t="s">
        <v>5411</v>
      </c>
    </row>
    <row r="266">
      <c r="A266" s="52">
        <v>269.0</v>
      </c>
      <c r="B266" s="52" t="s">
        <v>4906</v>
      </c>
      <c r="C266" s="52">
        <v>2.0251110032833E13</v>
      </c>
      <c r="D266" s="52" t="s">
        <v>5412</v>
      </c>
      <c r="E266" s="52" t="s">
        <v>5413</v>
      </c>
      <c r="F266" s="69">
        <v>45799.0</v>
      </c>
      <c r="G266" s="52" t="s">
        <v>4127</v>
      </c>
      <c r="H266" s="52">
        <v>9.00586128E8</v>
      </c>
      <c r="I266" s="52" t="s">
        <v>4564</v>
      </c>
      <c r="J266" s="52" t="s">
        <v>524</v>
      </c>
      <c r="K266" s="52" t="s">
        <v>4914</v>
      </c>
      <c r="L266" s="52">
        <v>1.62368725E8</v>
      </c>
      <c r="M266" s="113">
        <v>45800.0</v>
      </c>
      <c r="N266" s="52" t="s">
        <v>5414</v>
      </c>
    </row>
    <row r="267">
      <c r="A267" s="52">
        <v>270.0</v>
      </c>
      <c r="B267" s="52" t="s">
        <v>4906</v>
      </c>
      <c r="C267" s="52">
        <v>2.0251110032923E13</v>
      </c>
      <c r="D267" s="52" t="s">
        <v>5415</v>
      </c>
      <c r="E267" s="52" t="s">
        <v>5368</v>
      </c>
      <c r="F267" s="69">
        <v>45800.0</v>
      </c>
      <c r="G267" s="52" t="s">
        <v>4127</v>
      </c>
      <c r="H267" s="52">
        <v>8.11009788E8</v>
      </c>
      <c r="I267" s="52" t="s">
        <v>4166</v>
      </c>
      <c r="J267" s="52" t="s">
        <v>146</v>
      </c>
      <c r="K267" s="52" t="s">
        <v>4914</v>
      </c>
      <c r="L267" s="52">
        <v>1.63655725E8</v>
      </c>
      <c r="M267" s="113">
        <v>45800.0</v>
      </c>
      <c r="N267" s="52" t="s">
        <v>5416</v>
      </c>
    </row>
    <row r="268">
      <c r="A268" s="52">
        <v>271.0</v>
      </c>
      <c r="B268" s="52" t="s">
        <v>4906</v>
      </c>
      <c r="C268" s="52">
        <v>2.0251020033243E13</v>
      </c>
      <c r="D268" s="52" t="s">
        <v>5417</v>
      </c>
      <c r="E268" s="52" t="s">
        <v>1245</v>
      </c>
      <c r="F268" s="69">
        <v>45803.0</v>
      </c>
      <c r="G268" s="52" t="s">
        <v>4127</v>
      </c>
      <c r="H268" s="52">
        <v>8.30001113E8</v>
      </c>
      <c r="I268" s="52" t="s">
        <v>1904</v>
      </c>
      <c r="J268" s="52" t="s">
        <v>257</v>
      </c>
      <c r="K268" s="52" t="s">
        <v>4976</v>
      </c>
      <c r="L268" s="52">
        <v>1.67715425E8</v>
      </c>
      <c r="M268" s="113">
        <v>45803.0</v>
      </c>
      <c r="N268" s="52" t="s">
        <v>5418</v>
      </c>
    </row>
    <row r="269">
      <c r="A269" s="52">
        <v>272.0</v>
      </c>
      <c r="B269" s="52" t="s">
        <v>4906</v>
      </c>
      <c r="C269" s="52">
        <v>2.0251000033283E13</v>
      </c>
      <c r="D269" s="52" t="s">
        <v>5419</v>
      </c>
      <c r="E269" s="52" t="s">
        <v>5420</v>
      </c>
      <c r="F269" s="69">
        <v>45803.0</v>
      </c>
      <c r="G269" s="52" t="s">
        <v>3917</v>
      </c>
      <c r="H269" s="52">
        <v>5.235846E7</v>
      </c>
      <c r="I269" s="52" t="s">
        <v>4104</v>
      </c>
      <c r="J269" s="52" t="s">
        <v>2663</v>
      </c>
      <c r="K269" s="52" t="s">
        <v>4947</v>
      </c>
      <c r="L269" s="52">
        <v>1.67707025E8</v>
      </c>
      <c r="M269" s="113">
        <v>45803.0</v>
      </c>
      <c r="N269" s="52" t="s">
        <v>4920</v>
      </c>
    </row>
    <row r="270">
      <c r="A270" s="52">
        <v>273.0</v>
      </c>
      <c r="B270" s="52" t="s">
        <v>4906</v>
      </c>
      <c r="C270" s="52">
        <v>2.0251110033773E13</v>
      </c>
      <c r="D270" s="52" t="s">
        <v>5421</v>
      </c>
      <c r="E270" s="52" t="s">
        <v>4574</v>
      </c>
      <c r="F270" s="69">
        <v>45805.0</v>
      </c>
      <c r="G270" s="52" t="s">
        <v>4127</v>
      </c>
      <c r="H270" s="52">
        <v>8.00193221E8</v>
      </c>
      <c r="I270" s="52" t="s">
        <v>4575</v>
      </c>
      <c r="J270" s="52" t="s">
        <v>524</v>
      </c>
      <c r="K270" s="52" t="s">
        <v>4947</v>
      </c>
      <c r="L270" s="52">
        <v>1.73498525E8</v>
      </c>
      <c r="M270" s="113">
        <v>45805.0</v>
      </c>
      <c r="N270" s="52" t="s">
        <v>5422</v>
      </c>
    </row>
    <row r="271">
      <c r="A271" s="52">
        <v>274.0</v>
      </c>
      <c r="B271" s="52" t="s">
        <v>4906</v>
      </c>
      <c r="C271" s="52">
        <v>2.0251110033783E13</v>
      </c>
      <c r="D271" s="52" t="s">
        <v>5423</v>
      </c>
      <c r="E271" s="52" t="s">
        <v>4574</v>
      </c>
      <c r="F271" s="69">
        <v>45805.0</v>
      </c>
      <c r="G271" s="52" t="s">
        <v>4127</v>
      </c>
      <c r="H271" s="52">
        <v>8.00193221E8</v>
      </c>
      <c r="I271" s="52" t="s">
        <v>4575</v>
      </c>
      <c r="J271" s="52" t="s">
        <v>524</v>
      </c>
      <c r="K271" s="52" t="s">
        <v>4947</v>
      </c>
      <c r="L271" s="52">
        <v>1.73504625E8</v>
      </c>
      <c r="M271" s="113">
        <v>45805.0</v>
      </c>
      <c r="N271" s="52" t="s">
        <v>5424</v>
      </c>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52" t="s">
        <v>3904</v>
      </c>
      <c r="B1" s="52" t="s">
        <v>3905</v>
      </c>
      <c r="C1" s="52" t="s">
        <v>4903</v>
      </c>
      <c r="D1" s="52" t="s">
        <v>4189</v>
      </c>
      <c r="E1" s="52" t="s">
        <v>3907</v>
      </c>
      <c r="F1" s="52" t="s">
        <v>3909</v>
      </c>
      <c r="G1" s="52" t="s">
        <v>3910</v>
      </c>
      <c r="H1" s="52" t="s">
        <v>3911</v>
      </c>
      <c r="I1" s="52" t="s">
        <v>4191</v>
      </c>
      <c r="J1" s="52" t="s">
        <v>4904</v>
      </c>
      <c r="K1" s="52" t="s">
        <v>3912</v>
      </c>
      <c r="L1" s="52" t="s">
        <v>3913</v>
      </c>
      <c r="M1" s="52" t="s">
        <v>5425</v>
      </c>
    </row>
    <row r="2">
      <c r="A2" s="52" t="s">
        <v>5426</v>
      </c>
      <c r="B2" s="52">
        <v>2.0251900033833E13</v>
      </c>
      <c r="C2" s="69">
        <v>45806.0</v>
      </c>
      <c r="D2" s="52" t="s">
        <v>5427</v>
      </c>
      <c r="E2" s="52" t="s">
        <v>1345</v>
      </c>
      <c r="F2" s="52" t="s">
        <v>3917</v>
      </c>
      <c r="G2" s="52">
        <v>1.000603646E9</v>
      </c>
      <c r="H2" s="52" t="s">
        <v>5428</v>
      </c>
      <c r="I2" s="52" t="s">
        <v>779</v>
      </c>
      <c r="J2" s="52" t="s">
        <v>4908</v>
      </c>
      <c r="K2" s="52">
        <v>1.76952725E8</v>
      </c>
      <c r="L2" s="69">
        <v>45811.0</v>
      </c>
      <c r="M2" s="52" t="s">
        <v>5429</v>
      </c>
    </row>
    <row r="3">
      <c r="A3" s="52" t="s">
        <v>5426</v>
      </c>
      <c r="B3" s="52">
        <v>2.0251110034203E13</v>
      </c>
      <c r="C3" s="69">
        <v>45807.0</v>
      </c>
      <c r="D3" s="52" t="s">
        <v>5430</v>
      </c>
      <c r="E3" s="52" t="s">
        <v>3794</v>
      </c>
      <c r="F3" s="52" t="s">
        <v>3917</v>
      </c>
      <c r="G3" s="52">
        <v>1.010192885E9</v>
      </c>
      <c r="H3" s="52" t="s">
        <v>5431</v>
      </c>
      <c r="I3" s="52" t="s">
        <v>524</v>
      </c>
      <c r="J3" s="52" t="s">
        <v>4914</v>
      </c>
      <c r="K3" s="52">
        <v>1.76990825E8</v>
      </c>
      <c r="L3" s="69">
        <v>45811.0</v>
      </c>
      <c r="M3" s="52" t="s">
        <v>5432</v>
      </c>
    </row>
    <row r="4">
      <c r="A4" s="52" t="s">
        <v>5426</v>
      </c>
      <c r="B4" s="52">
        <v>2.0251800034053E13</v>
      </c>
      <c r="C4" s="69">
        <v>45806.0</v>
      </c>
      <c r="D4" s="52" t="s">
        <v>5433</v>
      </c>
      <c r="E4" s="52" t="s">
        <v>464</v>
      </c>
      <c r="F4" s="52" t="s">
        <v>3917</v>
      </c>
      <c r="G4" s="52">
        <v>1.015445697E9</v>
      </c>
      <c r="H4" s="52" t="s">
        <v>3971</v>
      </c>
      <c r="I4" s="52" t="s">
        <v>468</v>
      </c>
      <c r="J4" s="52" t="s">
        <v>4954</v>
      </c>
      <c r="K4" s="52">
        <v>1.76967425E8</v>
      </c>
      <c r="L4" s="69">
        <v>45811.0</v>
      </c>
      <c r="M4" s="52" t="s">
        <v>5434</v>
      </c>
    </row>
    <row r="5">
      <c r="A5" s="52" t="s">
        <v>5426</v>
      </c>
      <c r="B5" s="52">
        <v>2.0251900034293E13</v>
      </c>
      <c r="C5" s="69">
        <v>45807.0</v>
      </c>
      <c r="D5" s="52" t="s">
        <v>5435</v>
      </c>
      <c r="E5" s="52" t="s">
        <v>2791</v>
      </c>
      <c r="F5" s="52" t="s">
        <v>3917</v>
      </c>
      <c r="G5" s="52">
        <v>1.096217701E9</v>
      </c>
      <c r="H5" s="52" t="s">
        <v>4122</v>
      </c>
      <c r="I5" s="52" t="s">
        <v>433</v>
      </c>
      <c r="J5" s="52" t="s">
        <v>4908</v>
      </c>
      <c r="K5" s="52">
        <v>1.76975025E8</v>
      </c>
      <c r="L5" s="69">
        <v>45811.0</v>
      </c>
      <c r="M5" s="52" t="s">
        <v>5436</v>
      </c>
    </row>
    <row r="6">
      <c r="A6" s="52" t="s">
        <v>5426</v>
      </c>
      <c r="B6" s="52">
        <v>2.0251900034323E13</v>
      </c>
      <c r="C6" s="69">
        <v>45807.0</v>
      </c>
      <c r="D6" s="52" t="s">
        <v>5437</v>
      </c>
      <c r="E6" s="52" t="s">
        <v>1068</v>
      </c>
      <c r="F6" s="52" t="s">
        <v>3917</v>
      </c>
      <c r="G6" s="52">
        <v>1.032484145E9</v>
      </c>
      <c r="H6" s="52" t="s">
        <v>4211</v>
      </c>
      <c r="I6" s="52" t="s">
        <v>1207</v>
      </c>
      <c r="J6" s="52" t="s">
        <v>4908</v>
      </c>
      <c r="K6" s="52">
        <v>1.76991425E8</v>
      </c>
      <c r="L6" s="69">
        <v>45811.0</v>
      </c>
      <c r="M6" s="52" t="s">
        <v>5438</v>
      </c>
    </row>
    <row r="7">
      <c r="A7" s="52" t="s">
        <v>5426</v>
      </c>
      <c r="B7" s="52">
        <v>2.0251900034333E13</v>
      </c>
      <c r="C7" s="69">
        <v>45807.0</v>
      </c>
      <c r="D7" s="52" t="s">
        <v>5439</v>
      </c>
      <c r="E7" s="52" t="s">
        <v>429</v>
      </c>
      <c r="F7" s="52" t="s">
        <v>3917</v>
      </c>
      <c r="G7" s="52">
        <v>1.065837239E9</v>
      </c>
      <c r="H7" s="52" t="s">
        <v>3924</v>
      </c>
      <c r="I7" s="52" t="s">
        <v>433</v>
      </c>
      <c r="J7" s="52" t="s">
        <v>4908</v>
      </c>
      <c r="K7" s="52">
        <v>1.76992925E8</v>
      </c>
      <c r="L7" s="69">
        <v>45811.0</v>
      </c>
      <c r="M7" s="52" t="s">
        <v>5438</v>
      </c>
    </row>
    <row r="8">
      <c r="A8" s="52" t="s">
        <v>5426</v>
      </c>
      <c r="B8" s="52">
        <v>2.0251020034373E13</v>
      </c>
      <c r="C8" s="69">
        <v>45807.0</v>
      </c>
      <c r="D8" s="52" t="s">
        <v>5440</v>
      </c>
      <c r="E8" s="52" t="s">
        <v>2619</v>
      </c>
      <c r="F8" s="52" t="s">
        <v>3917</v>
      </c>
      <c r="G8" s="52">
        <v>5.2734728E7</v>
      </c>
      <c r="H8" s="52" t="s">
        <v>4100</v>
      </c>
      <c r="I8" s="52" t="s">
        <v>4319</v>
      </c>
      <c r="J8" s="52" t="s">
        <v>4976</v>
      </c>
      <c r="K8" s="52">
        <v>1.81751125E8</v>
      </c>
      <c r="L8" s="69">
        <v>45813.0</v>
      </c>
      <c r="M8" s="52" t="s">
        <v>5441</v>
      </c>
    </row>
    <row r="9">
      <c r="A9" s="52" t="s">
        <v>5426</v>
      </c>
      <c r="B9" s="52">
        <v>2.0251010034363E13</v>
      </c>
      <c r="C9" s="69">
        <v>45807.0</v>
      </c>
      <c r="D9" s="52" t="s">
        <v>5442</v>
      </c>
      <c r="E9" s="52" t="s">
        <v>822</v>
      </c>
      <c r="F9" s="52" t="s">
        <v>3917</v>
      </c>
      <c r="G9" s="52">
        <v>1.193406964E9</v>
      </c>
      <c r="H9" s="52" t="s">
        <v>4238</v>
      </c>
      <c r="I9" s="52" t="s">
        <v>922</v>
      </c>
      <c r="J9" s="52" t="s">
        <v>4922</v>
      </c>
      <c r="K9" s="52">
        <v>1.76993525E8</v>
      </c>
      <c r="L9" s="69">
        <v>45811.0</v>
      </c>
      <c r="M9" s="52" t="s">
        <v>5443</v>
      </c>
    </row>
    <row r="10">
      <c r="A10" s="52" t="s">
        <v>5426</v>
      </c>
      <c r="B10" s="52">
        <v>2.0251020034413E13</v>
      </c>
      <c r="C10" s="69">
        <v>45807.0</v>
      </c>
      <c r="D10" s="52" t="s">
        <v>5444</v>
      </c>
      <c r="E10" s="52" t="s">
        <v>5445</v>
      </c>
      <c r="F10" s="52" t="s">
        <v>3917</v>
      </c>
      <c r="G10" s="52">
        <v>1.0207309E9</v>
      </c>
      <c r="H10" s="52" t="s">
        <v>4329</v>
      </c>
      <c r="I10" s="52" t="s">
        <v>4690</v>
      </c>
      <c r="J10" s="52" t="s">
        <v>4976</v>
      </c>
      <c r="K10" s="52">
        <v>1.76996125E8</v>
      </c>
      <c r="L10" s="69">
        <v>45811.0</v>
      </c>
      <c r="M10" s="52" t="s">
        <v>5446</v>
      </c>
    </row>
    <row r="11">
      <c r="A11" s="52" t="s">
        <v>5426</v>
      </c>
      <c r="B11" s="52">
        <v>2.0251900034423E13</v>
      </c>
      <c r="C11" s="69">
        <v>45807.0</v>
      </c>
      <c r="D11" s="52" t="s">
        <v>5447</v>
      </c>
      <c r="E11" s="52" t="s">
        <v>835</v>
      </c>
      <c r="F11" s="52" t="s">
        <v>3917</v>
      </c>
      <c r="G11" s="52">
        <v>1.010065876E9</v>
      </c>
      <c r="H11" s="52" t="s">
        <v>4450</v>
      </c>
      <c r="I11" s="52" t="s">
        <v>433</v>
      </c>
      <c r="J11" s="52" t="s">
        <v>4908</v>
      </c>
      <c r="K11" s="52">
        <v>1.76994325E8</v>
      </c>
      <c r="L11" s="69">
        <v>45811.0</v>
      </c>
      <c r="M11" s="52" t="s">
        <v>5448</v>
      </c>
    </row>
    <row r="12">
      <c r="A12" s="52" t="s">
        <v>5426</v>
      </c>
      <c r="B12" s="52">
        <v>2.0251900034433E13</v>
      </c>
      <c r="C12" s="69">
        <v>45807.0</v>
      </c>
      <c r="D12" s="52" t="s">
        <v>5449</v>
      </c>
      <c r="E12" s="52" t="s">
        <v>5450</v>
      </c>
      <c r="F12" s="52" t="s">
        <v>3917</v>
      </c>
      <c r="G12" s="52">
        <v>1.015471886E9</v>
      </c>
      <c r="H12" s="52" t="s">
        <v>4243</v>
      </c>
      <c r="I12" s="52" t="s">
        <v>433</v>
      </c>
      <c r="J12" s="52" t="s">
        <v>4908</v>
      </c>
      <c r="K12" s="52">
        <v>1.76997425E8</v>
      </c>
      <c r="L12" s="69">
        <v>45811.0</v>
      </c>
      <c r="M12" s="52" t="s">
        <v>5451</v>
      </c>
    </row>
    <row r="13">
      <c r="A13" s="52" t="s">
        <v>5426</v>
      </c>
      <c r="B13" s="52">
        <v>2.0251900034693E13</v>
      </c>
      <c r="C13" s="69">
        <v>45811.0</v>
      </c>
      <c r="D13" s="52" t="s">
        <v>5452</v>
      </c>
      <c r="E13" s="52" t="s">
        <v>218</v>
      </c>
      <c r="F13" s="52" t="s">
        <v>3917</v>
      </c>
      <c r="G13" s="52">
        <v>1.130601351E9</v>
      </c>
      <c r="H13" s="52" t="s">
        <v>3920</v>
      </c>
      <c r="I13" s="52" t="s">
        <v>571</v>
      </c>
      <c r="J13" s="52" t="s">
        <v>4908</v>
      </c>
      <c r="K13" s="52">
        <v>1.77031725E8</v>
      </c>
      <c r="L13" s="69">
        <v>45811.0</v>
      </c>
      <c r="M13" s="52" t="s">
        <v>5453</v>
      </c>
    </row>
    <row r="14">
      <c r="A14" s="52" t="s">
        <v>5426</v>
      </c>
      <c r="B14" s="52">
        <v>2.0251510034683E13</v>
      </c>
      <c r="C14" s="69">
        <v>45811.0</v>
      </c>
      <c r="D14" s="52" t="s">
        <v>5454</v>
      </c>
      <c r="E14" s="52" t="s">
        <v>5455</v>
      </c>
      <c r="F14" s="52" t="s">
        <v>3917</v>
      </c>
      <c r="G14" s="52">
        <v>1.083897571E9</v>
      </c>
      <c r="H14" s="52" t="s">
        <v>4493</v>
      </c>
      <c r="I14" s="52" t="s">
        <v>4494</v>
      </c>
      <c r="J14" s="52" t="s">
        <v>4927</v>
      </c>
      <c r="K14" s="52">
        <v>1.79592625E8</v>
      </c>
      <c r="L14" s="69">
        <v>45812.0</v>
      </c>
      <c r="M14" s="52" t="s">
        <v>5456</v>
      </c>
    </row>
    <row r="15">
      <c r="A15" s="52" t="s">
        <v>5426</v>
      </c>
      <c r="B15" s="52">
        <v>2.0251900034493E13</v>
      </c>
      <c r="C15" s="69">
        <v>45811.0</v>
      </c>
      <c r="D15" s="52" t="s">
        <v>5435</v>
      </c>
      <c r="E15" s="52" t="s">
        <v>547</v>
      </c>
      <c r="F15" s="52" t="s">
        <v>3917</v>
      </c>
      <c r="G15" s="52">
        <v>2.6203478E7</v>
      </c>
      <c r="H15" s="52" t="s">
        <v>3995</v>
      </c>
      <c r="I15" s="52" t="s">
        <v>433</v>
      </c>
      <c r="J15" s="52" t="s">
        <v>4908</v>
      </c>
      <c r="K15" s="52">
        <v>1.76998225E8</v>
      </c>
      <c r="L15" s="69">
        <v>45811.0</v>
      </c>
      <c r="M15" s="52" t="s">
        <v>5448</v>
      </c>
    </row>
    <row r="16">
      <c r="A16" s="52" t="s">
        <v>5426</v>
      </c>
      <c r="B16" s="52">
        <v>2.0251000034663E13</v>
      </c>
      <c r="C16" s="69">
        <v>45811.0</v>
      </c>
      <c r="D16" s="52" t="s">
        <v>5457</v>
      </c>
      <c r="E16" s="52" t="s">
        <v>785</v>
      </c>
      <c r="F16" s="52" t="s">
        <v>3917</v>
      </c>
      <c r="G16" s="52">
        <v>1.007688013E9</v>
      </c>
      <c r="H16" s="52" t="s">
        <v>4365</v>
      </c>
      <c r="I16" s="52" t="s">
        <v>99</v>
      </c>
      <c r="J16" s="52" t="s">
        <v>4947</v>
      </c>
      <c r="K16" s="52">
        <v>1.77031225E8</v>
      </c>
      <c r="L16" s="69">
        <v>45811.0</v>
      </c>
      <c r="M16" s="52" t="s">
        <v>5458</v>
      </c>
    </row>
    <row r="17">
      <c r="A17" s="52" t="s">
        <v>5426</v>
      </c>
      <c r="B17" s="52">
        <v>2.0251000034673E13</v>
      </c>
      <c r="C17" s="69">
        <v>45811.0</v>
      </c>
      <c r="D17" s="52" t="s">
        <v>5459</v>
      </c>
      <c r="E17" s="52" t="s">
        <v>406</v>
      </c>
      <c r="F17" s="52" t="s">
        <v>3917</v>
      </c>
      <c r="G17" s="52">
        <v>1.032504965E9</v>
      </c>
      <c r="H17" s="52" t="s">
        <v>4116</v>
      </c>
      <c r="I17" s="52" t="s">
        <v>99</v>
      </c>
      <c r="J17" s="52" t="s">
        <v>4947</v>
      </c>
      <c r="K17" s="52">
        <v>1.77030725E8</v>
      </c>
      <c r="L17" s="69">
        <v>45811.0</v>
      </c>
      <c r="M17" s="52" t="s">
        <v>5460</v>
      </c>
    </row>
    <row r="18">
      <c r="A18" s="52" t="s">
        <v>5426</v>
      </c>
      <c r="B18" s="52">
        <v>2.0251000034643E13</v>
      </c>
      <c r="C18" s="69">
        <v>45811.0</v>
      </c>
      <c r="D18" s="52" t="s">
        <v>5461</v>
      </c>
      <c r="E18" s="52" t="s">
        <v>370</v>
      </c>
      <c r="F18" s="52" t="s">
        <v>3917</v>
      </c>
      <c r="G18" s="52">
        <v>1.020752782E9</v>
      </c>
      <c r="H18" s="52" t="s">
        <v>4146</v>
      </c>
      <c r="I18" s="52" t="s">
        <v>657</v>
      </c>
      <c r="J18" s="52" t="s">
        <v>4947</v>
      </c>
      <c r="K18" s="52">
        <v>1.77028025E8</v>
      </c>
      <c r="L18" s="69">
        <v>45811.0</v>
      </c>
      <c r="M18" s="52" t="s">
        <v>5462</v>
      </c>
    </row>
    <row r="19">
      <c r="A19" s="52" t="s">
        <v>5426</v>
      </c>
      <c r="B19" s="52">
        <v>2.0251000034623E13</v>
      </c>
      <c r="C19" s="69">
        <v>45811.0</v>
      </c>
      <c r="D19" s="52" t="s">
        <v>5463</v>
      </c>
      <c r="E19" s="52" t="s">
        <v>2866</v>
      </c>
      <c r="F19" s="52" t="s">
        <v>3917</v>
      </c>
      <c r="G19" s="52">
        <v>1.020751785E9</v>
      </c>
      <c r="H19" s="52" t="s">
        <v>4150</v>
      </c>
      <c r="I19" s="52" t="s">
        <v>657</v>
      </c>
      <c r="J19" s="52" t="s">
        <v>4947</v>
      </c>
      <c r="K19" s="52">
        <v>1.77022625E8</v>
      </c>
      <c r="L19" s="69">
        <v>45811.0</v>
      </c>
      <c r="M19" s="52" t="s">
        <v>5464</v>
      </c>
    </row>
    <row r="20">
      <c r="A20" s="52" t="s">
        <v>5426</v>
      </c>
      <c r="B20" s="52">
        <v>2.0251000034613E13</v>
      </c>
      <c r="C20" s="69">
        <v>45811.0</v>
      </c>
      <c r="D20" s="52" t="s">
        <v>5465</v>
      </c>
      <c r="E20" s="52" t="s">
        <v>722</v>
      </c>
      <c r="F20" s="52" t="s">
        <v>3917</v>
      </c>
      <c r="G20" s="52">
        <v>1.03117359E9</v>
      </c>
      <c r="H20" s="52" t="s">
        <v>4545</v>
      </c>
      <c r="I20" s="52" t="s">
        <v>657</v>
      </c>
      <c r="J20" s="52" t="s">
        <v>4947</v>
      </c>
      <c r="K20" s="52">
        <v>1.77001625E8</v>
      </c>
      <c r="L20" s="69">
        <v>45811.0</v>
      </c>
      <c r="M20" s="52" t="s">
        <v>5464</v>
      </c>
    </row>
    <row r="21">
      <c r="A21" s="52" t="s">
        <v>5426</v>
      </c>
      <c r="B21" s="52">
        <v>2.0251000034603E13</v>
      </c>
      <c r="C21" s="69">
        <v>45811.0</v>
      </c>
      <c r="D21" s="52" t="s">
        <v>5466</v>
      </c>
      <c r="E21" s="52" t="s">
        <v>913</v>
      </c>
      <c r="F21" s="52" t="s">
        <v>3917</v>
      </c>
      <c r="G21" s="52">
        <v>1.032450346E9</v>
      </c>
      <c r="H21" s="52" t="s">
        <v>4498</v>
      </c>
      <c r="I21" s="52" t="s">
        <v>657</v>
      </c>
      <c r="J21" s="52" t="s">
        <v>4947</v>
      </c>
      <c r="K21" s="52">
        <v>1.77002325E8</v>
      </c>
      <c r="L21" s="69">
        <v>45811.0</v>
      </c>
      <c r="M21" s="52" t="s">
        <v>5467</v>
      </c>
    </row>
    <row r="22">
      <c r="A22" s="52" t="s">
        <v>5426</v>
      </c>
      <c r="B22" s="52">
        <v>2.0251700034703E13</v>
      </c>
      <c r="C22" s="69">
        <v>45811.0</v>
      </c>
      <c r="D22" s="52" t="s">
        <v>5468</v>
      </c>
      <c r="E22" s="52" t="s">
        <v>1065</v>
      </c>
      <c r="F22" s="52" t="s">
        <v>3917</v>
      </c>
      <c r="G22" s="52">
        <v>1.128431532E9</v>
      </c>
      <c r="H22" s="52" t="s">
        <v>4374</v>
      </c>
      <c r="I22" s="52" t="s">
        <v>4372</v>
      </c>
      <c r="J22" s="52" t="s">
        <v>4932</v>
      </c>
      <c r="K22" s="52" t="s">
        <v>5469</v>
      </c>
      <c r="L22" s="69">
        <v>45812.0</v>
      </c>
      <c r="M22" s="52" t="s">
        <v>5470</v>
      </c>
    </row>
    <row r="23">
      <c r="A23" s="52" t="s">
        <v>5426</v>
      </c>
      <c r="B23" s="52">
        <v>2.0251700034743E13</v>
      </c>
      <c r="C23" s="69">
        <v>45811.0</v>
      </c>
      <c r="D23" s="52" t="s">
        <v>5471</v>
      </c>
      <c r="E23" s="52" t="s">
        <v>634</v>
      </c>
      <c r="F23" s="52" t="s">
        <v>3917</v>
      </c>
      <c r="G23" s="52">
        <v>5.2016453E7</v>
      </c>
      <c r="H23" s="52" t="s">
        <v>4371</v>
      </c>
      <c r="I23" s="52" t="s">
        <v>4372</v>
      </c>
      <c r="J23" s="52" t="s">
        <v>4932</v>
      </c>
      <c r="K23" s="52">
        <v>1.77023125E8</v>
      </c>
      <c r="L23" s="69">
        <v>45811.0</v>
      </c>
      <c r="M23" s="52" t="s">
        <v>5472</v>
      </c>
    </row>
    <row r="24">
      <c r="A24" s="52" t="s">
        <v>5426</v>
      </c>
      <c r="B24" s="52">
        <v>2.0251010034753E13</v>
      </c>
      <c r="C24" s="69">
        <v>45811.0</v>
      </c>
      <c r="D24" s="52" t="s">
        <v>5473</v>
      </c>
      <c r="E24" s="52" t="s">
        <v>206</v>
      </c>
      <c r="F24" s="52" t="s">
        <v>3917</v>
      </c>
      <c r="G24" s="52">
        <v>1.030634246E9</v>
      </c>
      <c r="H24" s="52" t="s">
        <v>3926</v>
      </c>
      <c r="I24" s="52" t="s">
        <v>211</v>
      </c>
      <c r="J24" s="52" t="s">
        <v>4922</v>
      </c>
      <c r="K24" s="52">
        <v>1.79390325E8</v>
      </c>
      <c r="L24" s="69">
        <v>45812.0</v>
      </c>
      <c r="M24" s="52" t="s">
        <v>5474</v>
      </c>
    </row>
    <row r="25">
      <c r="A25" s="52" t="s">
        <v>5426</v>
      </c>
      <c r="B25" s="52">
        <v>2.0251530034763E13</v>
      </c>
      <c r="C25" s="69">
        <v>45811.0</v>
      </c>
      <c r="D25" s="52" t="s">
        <v>5475</v>
      </c>
      <c r="E25" s="52" t="s">
        <v>886</v>
      </c>
      <c r="F25" s="52" t="s">
        <v>3917</v>
      </c>
      <c r="G25" s="52">
        <v>1.049640327E9</v>
      </c>
      <c r="H25" s="52" t="s">
        <v>4235</v>
      </c>
      <c r="I25" s="52" t="s">
        <v>4655</v>
      </c>
      <c r="J25" s="52" t="s">
        <v>4927</v>
      </c>
      <c r="K25" s="52">
        <v>1.79403525E8</v>
      </c>
      <c r="L25" s="69">
        <v>45812.0</v>
      </c>
      <c r="M25" s="52" t="s">
        <v>5476</v>
      </c>
    </row>
    <row r="26">
      <c r="A26" s="52" t="s">
        <v>5426</v>
      </c>
      <c r="B26" s="52">
        <v>2.0251530034843E13</v>
      </c>
      <c r="C26" s="69">
        <v>45811.0</v>
      </c>
      <c r="D26" s="52" t="s">
        <v>5477</v>
      </c>
      <c r="E26" s="52" t="s">
        <v>799</v>
      </c>
      <c r="F26" s="52" t="s">
        <v>3917</v>
      </c>
      <c r="G26" s="52">
        <v>1.026271385E9</v>
      </c>
      <c r="H26" s="52" t="s">
        <v>5478</v>
      </c>
      <c r="I26" s="52" t="s">
        <v>4203</v>
      </c>
      <c r="J26" s="52" t="s">
        <v>4927</v>
      </c>
      <c r="K26" s="52">
        <v>1.81752125E8</v>
      </c>
      <c r="L26" s="69">
        <v>45813.0</v>
      </c>
      <c r="M26" s="52" t="s">
        <v>5479</v>
      </c>
    </row>
    <row r="27">
      <c r="A27" s="52" t="s">
        <v>5426</v>
      </c>
      <c r="B27" s="52">
        <v>2.0251300034813E13</v>
      </c>
      <c r="C27" s="69">
        <v>45811.0</v>
      </c>
      <c r="D27" s="52" t="s">
        <v>5480</v>
      </c>
      <c r="E27" s="52" t="s">
        <v>5031</v>
      </c>
      <c r="F27" s="52" t="s">
        <v>3917</v>
      </c>
      <c r="G27" s="52">
        <v>1.010244152E9</v>
      </c>
      <c r="H27" s="52" t="s">
        <v>4006</v>
      </c>
      <c r="I27" s="52" t="s">
        <v>5481</v>
      </c>
      <c r="J27" s="52" t="s">
        <v>134</v>
      </c>
      <c r="K27" s="52">
        <v>1.79424725E8</v>
      </c>
      <c r="L27" s="69">
        <v>45812.0</v>
      </c>
      <c r="M27" s="52" t="s">
        <v>5482</v>
      </c>
    </row>
    <row r="28">
      <c r="A28" s="52" t="s">
        <v>5426</v>
      </c>
      <c r="B28" s="52">
        <v>2.0251900034863E13</v>
      </c>
      <c r="C28" s="69">
        <v>45811.0</v>
      </c>
      <c r="D28" s="52" t="s">
        <v>5483</v>
      </c>
      <c r="E28" s="52" t="s">
        <v>5232</v>
      </c>
      <c r="F28" s="52" t="s">
        <v>3917</v>
      </c>
      <c r="G28" s="52">
        <v>1.026579774E9</v>
      </c>
      <c r="H28" s="52" t="s">
        <v>4424</v>
      </c>
      <c r="I28" s="52" t="s">
        <v>433</v>
      </c>
      <c r="J28" s="52" t="s">
        <v>4908</v>
      </c>
      <c r="K28" s="52">
        <v>1.79534425E8</v>
      </c>
      <c r="L28" s="69">
        <v>45812.0</v>
      </c>
      <c r="M28" s="52" t="s">
        <v>5484</v>
      </c>
    </row>
    <row r="29">
      <c r="A29" s="52" t="s">
        <v>5426</v>
      </c>
      <c r="B29" s="52">
        <v>2.0251530034773E13</v>
      </c>
      <c r="C29" s="69">
        <v>45811.0</v>
      </c>
      <c r="D29" s="52" t="s">
        <v>5485</v>
      </c>
      <c r="E29" s="52" t="s">
        <v>894</v>
      </c>
      <c r="F29" s="52" t="s">
        <v>3917</v>
      </c>
      <c r="G29" s="52">
        <v>1.070918327E9</v>
      </c>
      <c r="H29" s="52" t="s">
        <v>4227</v>
      </c>
      <c r="I29" s="52" t="s">
        <v>4655</v>
      </c>
      <c r="J29" s="52" t="s">
        <v>4927</v>
      </c>
      <c r="K29" s="52">
        <v>1.79529425E8</v>
      </c>
      <c r="L29" s="69">
        <v>45812.0</v>
      </c>
      <c r="M29" s="52" t="s">
        <v>5486</v>
      </c>
    </row>
    <row r="30">
      <c r="A30" s="52" t="s">
        <v>5426</v>
      </c>
      <c r="B30" s="52">
        <v>2.0251500034833E13</v>
      </c>
      <c r="C30" s="69">
        <v>45811.0</v>
      </c>
      <c r="D30" s="52" t="s">
        <v>5487</v>
      </c>
      <c r="E30" s="52" t="s">
        <v>342</v>
      </c>
      <c r="F30" s="52" t="s">
        <v>3917</v>
      </c>
      <c r="G30" s="52">
        <v>1.143855242E9</v>
      </c>
      <c r="H30" s="52" t="s">
        <v>4004</v>
      </c>
      <c r="I30" s="52" t="s">
        <v>346</v>
      </c>
      <c r="J30" s="52" t="s">
        <v>4927</v>
      </c>
      <c r="K30" s="52">
        <v>1.79535425E8</v>
      </c>
      <c r="L30" s="69">
        <v>45812.0</v>
      </c>
      <c r="M30" s="52" t="s">
        <v>5488</v>
      </c>
    </row>
    <row r="31">
      <c r="A31" s="52" t="s">
        <v>5426</v>
      </c>
      <c r="B31" s="52">
        <v>2.0251530034883E13</v>
      </c>
      <c r="C31" s="69">
        <v>45811.0</v>
      </c>
      <c r="D31" s="52" t="s">
        <v>5489</v>
      </c>
      <c r="E31" s="52" t="s">
        <v>347</v>
      </c>
      <c r="F31" s="52" t="s">
        <v>3917</v>
      </c>
      <c r="G31" s="52">
        <v>1.09872233E9</v>
      </c>
      <c r="H31" s="52" t="s">
        <v>3922</v>
      </c>
      <c r="I31" s="52" t="s">
        <v>352</v>
      </c>
      <c r="J31" s="52" t="s">
        <v>4927</v>
      </c>
      <c r="K31" s="52">
        <v>1.80368925E8</v>
      </c>
      <c r="L31" s="69">
        <v>45813.0</v>
      </c>
      <c r="M31" s="52" t="s">
        <v>5479</v>
      </c>
    </row>
    <row r="32">
      <c r="A32" s="52" t="s">
        <v>5426</v>
      </c>
      <c r="B32" s="52">
        <v>2.0251010034723E13</v>
      </c>
      <c r="C32" s="69">
        <v>45811.0</v>
      </c>
      <c r="D32" s="52" t="s">
        <v>5490</v>
      </c>
      <c r="E32" s="52" t="s">
        <v>123</v>
      </c>
      <c r="F32" s="52" t="s">
        <v>3917</v>
      </c>
      <c r="G32" s="52">
        <v>1.013653433E9</v>
      </c>
      <c r="H32" s="52" t="s">
        <v>3957</v>
      </c>
      <c r="I32" s="52" t="s">
        <v>922</v>
      </c>
      <c r="J32" s="52" t="s">
        <v>4922</v>
      </c>
      <c r="K32" s="52">
        <v>1.93552225E8</v>
      </c>
      <c r="L32" s="69">
        <v>45820.0</v>
      </c>
      <c r="M32" s="52" t="s">
        <v>5491</v>
      </c>
    </row>
    <row r="33">
      <c r="A33" s="52" t="s">
        <v>5426</v>
      </c>
      <c r="B33" s="52">
        <v>2.0251120034733E13</v>
      </c>
      <c r="C33" s="69">
        <v>45811.0</v>
      </c>
      <c r="D33" s="52" t="s">
        <v>5492</v>
      </c>
      <c r="E33" s="52" t="s">
        <v>5493</v>
      </c>
      <c r="F33" s="52" t="s">
        <v>3917</v>
      </c>
      <c r="G33" s="52">
        <v>1.003586805E9</v>
      </c>
      <c r="H33" s="52" t="s">
        <v>4197</v>
      </c>
      <c r="I33" s="52" t="s">
        <v>847</v>
      </c>
      <c r="J33" s="52" t="s">
        <v>4914</v>
      </c>
      <c r="K33" s="52">
        <v>1.93552725E8</v>
      </c>
      <c r="L33" s="69">
        <v>45820.0</v>
      </c>
      <c r="M33" s="52" t="s">
        <v>5494</v>
      </c>
    </row>
    <row r="34">
      <c r="A34" s="52" t="s">
        <v>5426</v>
      </c>
      <c r="B34" s="52">
        <v>2.0251300034893E13</v>
      </c>
      <c r="C34" s="69">
        <v>45811.0</v>
      </c>
      <c r="D34" s="52" t="s">
        <v>5495</v>
      </c>
      <c r="E34" s="52" t="s">
        <v>505</v>
      </c>
      <c r="F34" s="52" t="s">
        <v>3917</v>
      </c>
      <c r="G34" s="52">
        <v>7183875.0</v>
      </c>
      <c r="H34" s="52" t="s">
        <v>4002</v>
      </c>
      <c r="I34" s="52" t="s">
        <v>509</v>
      </c>
      <c r="J34" s="52" t="s">
        <v>134</v>
      </c>
      <c r="K34" s="52">
        <v>1.79501225E8</v>
      </c>
      <c r="L34" s="69">
        <v>45812.0</v>
      </c>
      <c r="M34" s="52" t="s">
        <v>5496</v>
      </c>
    </row>
    <row r="35">
      <c r="A35" s="52" t="s">
        <v>5426</v>
      </c>
      <c r="B35" s="52">
        <v>2.0251000034933E13</v>
      </c>
      <c r="C35" s="69">
        <v>45811.0</v>
      </c>
      <c r="D35" s="52" t="s">
        <v>5497</v>
      </c>
      <c r="E35" s="52" t="s">
        <v>101</v>
      </c>
      <c r="F35" s="52" t="s">
        <v>3917</v>
      </c>
      <c r="G35" s="52">
        <v>1.016013668E9</v>
      </c>
      <c r="H35" s="52" t="s">
        <v>4071</v>
      </c>
      <c r="I35" s="52" t="s">
        <v>2663</v>
      </c>
      <c r="J35" s="52" t="s">
        <v>4947</v>
      </c>
      <c r="K35" s="52">
        <v>1.79545125E8</v>
      </c>
      <c r="L35" s="69">
        <v>45812.0</v>
      </c>
      <c r="M35" s="52" t="s">
        <v>5496</v>
      </c>
    </row>
    <row r="36">
      <c r="A36" s="52" t="s">
        <v>5426</v>
      </c>
      <c r="B36" s="52">
        <v>2.0251000034953E13</v>
      </c>
      <c r="C36" s="69">
        <v>45811.0</v>
      </c>
      <c r="D36" s="52" t="s">
        <v>5498</v>
      </c>
      <c r="E36" s="52" t="s">
        <v>1096</v>
      </c>
      <c r="F36" s="52" t="s">
        <v>3917</v>
      </c>
      <c r="G36" s="52">
        <v>5.3176483E7</v>
      </c>
      <c r="H36" s="52" t="s">
        <v>4513</v>
      </c>
      <c r="I36" s="52" t="s">
        <v>2663</v>
      </c>
      <c r="J36" s="52" t="s">
        <v>4947</v>
      </c>
      <c r="K36" s="52">
        <v>1.79494225E8</v>
      </c>
      <c r="L36" s="69">
        <v>45812.0</v>
      </c>
      <c r="M36" s="52" t="s">
        <v>5462</v>
      </c>
    </row>
    <row r="37">
      <c r="A37" s="52" t="s">
        <v>5426</v>
      </c>
      <c r="B37" s="52">
        <v>2.0251000034963E13</v>
      </c>
      <c r="C37" s="69">
        <v>45811.0</v>
      </c>
      <c r="D37" s="52" t="s">
        <v>5499</v>
      </c>
      <c r="E37" s="52" t="s">
        <v>1053</v>
      </c>
      <c r="F37" s="52" t="s">
        <v>3917</v>
      </c>
      <c r="G37" s="52">
        <v>1.070969778E9</v>
      </c>
      <c r="H37" s="52" t="s">
        <v>4520</v>
      </c>
      <c r="I37" s="52" t="s">
        <v>2663</v>
      </c>
      <c r="J37" s="52" t="s">
        <v>4947</v>
      </c>
      <c r="K37" s="52">
        <v>1.79406425E8</v>
      </c>
      <c r="L37" s="69">
        <v>45812.0</v>
      </c>
      <c r="M37" s="52" t="s">
        <v>5464</v>
      </c>
    </row>
    <row r="38">
      <c r="A38" s="52" t="s">
        <v>5426</v>
      </c>
      <c r="B38" s="52">
        <v>2.0251000034983E13</v>
      </c>
      <c r="C38" s="69">
        <v>45811.0</v>
      </c>
      <c r="D38" s="52" t="s">
        <v>4634</v>
      </c>
      <c r="E38" s="52" t="s">
        <v>4946</v>
      </c>
      <c r="F38" s="52" t="s">
        <v>3917</v>
      </c>
      <c r="G38" s="52">
        <v>5.2811892E7</v>
      </c>
      <c r="H38" s="52" t="s">
        <v>3959</v>
      </c>
      <c r="I38" s="52" t="s">
        <v>474</v>
      </c>
      <c r="J38" s="52" t="s">
        <v>4947</v>
      </c>
      <c r="K38" s="52">
        <v>1.79600625E8</v>
      </c>
      <c r="L38" s="69">
        <v>45812.0</v>
      </c>
      <c r="M38" s="52" t="s">
        <v>5500</v>
      </c>
    </row>
    <row r="39">
      <c r="A39" s="52" t="s">
        <v>5426</v>
      </c>
      <c r="B39" s="52">
        <v>2.0251000034993E13</v>
      </c>
      <c r="C39" s="69">
        <v>45811.0</v>
      </c>
      <c r="D39" s="52" t="s">
        <v>5501</v>
      </c>
      <c r="E39" s="52" t="s">
        <v>5502</v>
      </c>
      <c r="F39" s="52" t="s">
        <v>3917</v>
      </c>
      <c r="G39" s="52">
        <v>1.037608001E9</v>
      </c>
      <c r="H39" s="52" t="s">
        <v>4069</v>
      </c>
      <c r="I39" s="52" t="s">
        <v>2663</v>
      </c>
      <c r="J39" s="52" t="s">
        <v>4947</v>
      </c>
      <c r="K39" s="52">
        <v>1.80371225E8</v>
      </c>
      <c r="L39" s="69">
        <v>45813.0</v>
      </c>
      <c r="M39" s="52" t="s">
        <v>5503</v>
      </c>
    </row>
    <row r="40">
      <c r="A40" s="52" t="s">
        <v>5426</v>
      </c>
      <c r="B40" s="52">
        <v>2.0251000035003E13</v>
      </c>
      <c r="C40" s="69">
        <v>45811.0</v>
      </c>
      <c r="D40" s="52" t="s">
        <v>5504</v>
      </c>
      <c r="E40" s="52" t="s">
        <v>5505</v>
      </c>
      <c r="F40" s="52" t="s">
        <v>3917</v>
      </c>
      <c r="G40" s="52">
        <v>4517491.0</v>
      </c>
      <c r="H40" s="52" t="s">
        <v>4517</v>
      </c>
      <c r="I40" s="52" t="s">
        <v>2663</v>
      </c>
      <c r="J40" s="52" t="s">
        <v>4947</v>
      </c>
      <c r="K40" s="52">
        <v>1.80383725E8</v>
      </c>
      <c r="L40" s="69">
        <v>45813.0</v>
      </c>
      <c r="M40" s="52" t="s">
        <v>5464</v>
      </c>
    </row>
    <row r="41">
      <c r="A41" s="52" t="s">
        <v>5426</v>
      </c>
      <c r="B41" s="52">
        <v>2.0251000035013E13</v>
      </c>
      <c r="C41" s="69">
        <v>45811.0</v>
      </c>
      <c r="D41" s="52" t="s">
        <v>5506</v>
      </c>
      <c r="E41" s="52" t="s">
        <v>5237</v>
      </c>
      <c r="F41" s="52" t="s">
        <v>3917</v>
      </c>
      <c r="G41" s="52">
        <v>8.706746E7</v>
      </c>
      <c r="H41" s="52" t="s">
        <v>4619</v>
      </c>
      <c r="I41" s="52" t="s">
        <v>2663</v>
      </c>
      <c r="J41" s="52" t="s">
        <v>4947</v>
      </c>
      <c r="K41" s="52" t="s">
        <v>5507</v>
      </c>
      <c r="L41" s="69">
        <v>45813.0</v>
      </c>
      <c r="M41" s="52" t="s">
        <v>5508</v>
      </c>
    </row>
    <row r="42">
      <c r="A42" s="52" t="s">
        <v>5426</v>
      </c>
      <c r="B42" s="52">
        <v>2.0251000035023E13</v>
      </c>
      <c r="C42" s="69">
        <v>45811.0</v>
      </c>
      <c r="D42" s="52" t="s">
        <v>5509</v>
      </c>
      <c r="E42" s="52" t="s">
        <v>5239</v>
      </c>
      <c r="F42" s="52" t="s">
        <v>3917</v>
      </c>
      <c r="G42" s="52">
        <v>1.032497761E9</v>
      </c>
      <c r="H42" s="52" t="s">
        <v>4815</v>
      </c>
      <c r="I42" s="52" t="s">
        <v>2663</v>
      </c>
      <c r="J42" s="52" t="s">
        <v>4947</v>
      </c>
      <c r="K42" s="52">
        <v>1.80384625E8</v>
      </c>
      <c r="L42" s="69">
        <v>45813.0</v>
      </c>
      <c r="M42" s="52" t="s">
        <v>5510</v>
      </c>
    </row>
    <row r="43">
      <c r="A43" s="52" t="s">
        <v>5426</v>
      </c>
      <c r="B43" s="52">
        <v>2.0251610034853E13</v>
      </c>
      <c r="C43" s="69">
        <v>45811.0</v>
      </c>
      <c r="D43" s="52" t="s">
        <v>5511</v>
      </c>
      <c r="E43" s="52" t="s">
        <v>118</v>
      </c>
      <c r="F43" s="52" t="s">
        <v>3917</v>
      </c>
      <c r="G43" s="52">
        <v>1.014280937E9</v>
      </c>
      <c r="H43" s="52" t="s">
        <v>4009</v>
      </c>
      <c r="I43" s="52" t="s">
        <v>561</v>
      </c>
      <c r="J43" s="52" t="s">
        <v>4938</v>
      </c>
      <c r="K43" s="52">
        <v>1.93554225E8</v>
      </c>
      <c r="L43" s="69">
        <v>45820.0</v>
      </c>
      <c r="M43" s="52" t="s">
        <v>5494</v>
      </c>
    </row>
    <row r="44">
      <c r="A44" s="52" t="s">
        <v>5426</v>
      </c>
      <c r="B44" s="52">
        <v>2.0251000035043E13</v>
      </c>
      <c r="C44" s="69">
        <v>45811.0</v>
      </c>
      <c r="D44" s="52" t="s">
        <v>5512</v>
      </c>
      <c r="E44" s="52" t="s">
        <v>1212</v>
      </c>
      <c r="F44" s="52" t="s">
        <v>3917</v>
      </c>
      <c r="G44" s="52">
        <v>1.102363429E9</v>
      </c>
      <c r="H44" s="52" t="s">
        <v>4777</v>
      </c>
      <c r="I44" s="52" t="s">
        <v>2663</v>
      </c>
      <c r="J44" s="52" t="s">
        <v>4947</v>
      </c>
      <c r="K44" s="52" t="s">
        <v>5513</v>
      </c>
      <c r="L44" s="69">
        <v>45813.0</v>
      </c>
      <c r="M44" s="52" t="s">
        <v>5514</v>
      </c>
    </row>
    <row r="45">
      <c r="A45" s="52" t="s">
        <v>5426</v>
      </c>
      <c r="B45" s="52">
        <v>2.0251000035053E13</v>
      </c>
      <c r="C45" s="69">
        <v>45811.0</v>
      </c>
      <c r="D45" s="52" t="s">
        <v>5515</v>
      </c>
      <c r="E45" s="52" t="s">
        <v>1279</v>
      </c>
      <c r="F45" s="52" t="s">
        <v>3917</v>
      </c>
      <c r="G45" s="52">
        <v>1.088259482E9</v>
      </c>
      <c r="H45" s="52" t="s">
        <v>5056</v>
      </c>
      <c r="I45" s="52" t="s">
        <v>2663</v>
      </c>
      <c r="J45" s="52" t="s">
        <v>4947</v>
      </c>
      <c r="K45" s="52">
        <v>1.84172825E8</v>
      </c>
      <c r="L45" s="69">
        <v>45814.0</v>
      </c>
      <c r="M45" s="52" t="s">
        <v>5516</v>
      </c>
    </row>
    <row r="46">
      <c r="A46" s="52" t="s">
        <v>5426</v>
      </c>
      <c r="B46" s="52">
        <v>2.0251800035063E13</v>
      </c>
      <c r="C46" s="69">
        <v>45811.0</v>
      </c>
      <c r="D46" s="52" t="s">
        <v>5517</v>
      </c>
      <c r="E46" s="52" t="s">
        <v>2777</v>
      </c>
      <c r="F46" s="52" t="s">
        <v>3917</v>
      </c>
      <c r="G46" s="52">
        <v>1.073384272E9</v>
      </c>
      <c r="H46" s="52" t="s">
        <v>4054</v>
      </c>
      <c r="I46" s="52" t="s">
        <v>4312</v>
      </c>
      <c r="J46" s="52" t="s">
        <v>4954</v>
      </c>
      <c r="K46" s="52">
        <v>1.81749825E8</v>
      </c>
      <c r="L46" s="69">
        <v>45813.0</v>
      </c>
      <c r="M46" s="52" t="s">
        <v>5518</v>
      </c>
    </row>
    <row r="47">
      <c r="A47" s="52" t="s">
        <v>5426</v>
      </c>
      <c r="B47" s="52">
        <v>2.0251000035073E13</v>
      </c>
      <c r="C47" s="69">
        <v>45811.0</v>
      </c>
      <c r="D47" s="52" t="s">
        <v>5519</v>
      </c>
      <c r="E47" s="52" t="s">
        <v>5520</v>
      </c>
      <c r="F47" s="52" t="s">
        <v>3917</v>
      </c>
      <c r="G47" s="52">
        <v>1.013597889E9</v>
      </c>
      <c r="H47" s="52" t="s">
        <v>4548</v>
      </c>
      <c r="I47" s="52" t="s">
        <v>657</v>
      </c>
      <c r="J47" s="52" t="s">
        <v>4947</v>
      </c>
      <c r="K47" s="52">
        <v>1.84896425E8</v>
      </c>
      <c r="L47" s="69">
        <v>45814.0</v>
      </c>
      <c r="M47" s="52" t="s">
        <v>5436</v>
      </c>
    </row>
    <row r="48">
      <c r="A48" s="52" t="s">
        <v>5426</v>
      </c>
      <c r="B48" s="52">
        <v>2.0251000035083E13</v>
      </c>
      <c r="C48" s="69">
        <v>45811.0</v>
      </c>
      <c r="D48" s="52" t="s">
        <v>5521</v>
      </c>
      <c r="E48" s="52" t="s">
        <v>5522</v>
      </c>
      <c r="F48" s="52" t="s">
        <v>3917</v>
      </c>
      <c r="G48" s="52">
        <v>1.085897401E9</v>
      </c>
      <c r="H48" s="52" t="s">
        <v>4138</v>
      </c>
      <c r="I48" s="52" t="s">
        <v>657</v>
      </c>
      <c r="J48" s="52" t="s">
        <v>4947</v>
      </c>
      <c r="K48" s="52">
        <v>1.82423125E8</v>
      </c>
      <c r="L48" s="69">
        <v>45813.0</v>
      </c>
      <c r="M48" s="52" t="s">
        <v>5523</v>
      </c>
    </row>
    <row r="49">
      <c r="A49" s="52" t="s">
        <v>5426</v>
      </c>
      <c r="B49" s="52">
        <v>2.0251000035093E13</v>
      </c>
      <c r="C49" s="69">
        <v>45811.0</v>
      </c>
      <c r="D49" s="52" t="s">
        <v>5524</v>
      </c>
      <c r="E49" s="52" t="s">
        <v>5525</v>
      </c>
      <c r="F49" s="52" t="s">
        <v>3917</v>
      </c>
      <c r="G49" s="52">
        <v>1.032414974E9</v>
      </c>
      <c r="H49" s="52" t="s">
        <v>4485</v>
      </c>
      <c r="I49" s="52" t="s">
        <v>657</v>
      </c>
      <c r="J49" s="52" t="s">
        <v>4947</v>
      </c>
      <c r="K49" s="52">
        <v>1.79498725E8</v>
      </c>
      <c r="L49" s="69">
        <v>45812.0</v>
      </c>
      <c r="M49" s="52" t="s">
        <v>5436</v>
      </c>
    </row>
    <row r="50">
      <c r="A50" s="52" t="s">
        <v>5426</v>
      </c>
      <c r="B50" s="52">
        <v>2.0251000035103E13</v>
      </c>
      <c r="C50" s="69">
        <v>45811.0</v>
      </c>
      <c r="D50" s="52" t="s">
        <v>5526</v>
      </c>
      <c r="E50" s="52" t="s">
        <v>5527</v>
      </c>
      <c r="F50" s="52" t="s">
        <v>3917</v>
      </c>
      <c r="G50" s="52">
        <v>1.235539689E9</v>
      </c>
      <c r="H50" s="52" t="s">
        <v>4550</v>
      </c>
      <c r="I50" s="52" t="s">
        <v>657</v>
      </c>
      <c r="J50" s="52" t="s">
        <v>4947</v>
      </c>
      <c r="K50" s="52" t="s">
        <v>5528</v>
      </c>
      <c r="L50" s="69">
        <v>45812.0</v>
      </c>
      <c r="M50" s="52" t="s">
        <v>5529</v>
      </c>
    </row>
    <row r="51">
      <c r="A51" s="52" t="s">
        <v>5426</v>
      </c>
      <c r="B51" s="52">
        <v>2.0251010035233E13</v>
      </c>
      <c r="C51" s="69">
        <v>45811.0</v>
      </c>
      <c r="D51" s="52" t="s">
        <v>5530</v>
      </c>
      <c r="E51" s="52" t="s">
        <v>818</v>
      </c>
      <c r="F51" s="52" t="s">
        <v>3917</v>
      </c>
      <c r="G51" s="52">
        <v>1.033769305E9</v>
      </c>
      <c r="H51" s="52" t="s">
        <v>4247</v>
      </c>
      <c r="I51" s="52" t="s">
        <v>211</v>
      </c>
      <c r="J51" s="52" t="s">
        <v>4922</v>
      </c>
      <c r="K51" s="52">
        <v>1.83868525E8</v>
      </c>
      <c r="L51" s="69">
        <v>45814.0</v>
      </c>
      <c r="M51" s="52" t="s">
        <v>5453</v>
      </c>
    </row>
    <row r="52">
      <c r="A52" s="52" t="s">
        <v>5426</v>
      </c>
      <c r="B52" s="52">
        <v>2.0251400035123E13</v>
      </c>
      <c r="C52" s="69">
        <v>45811.0</v>
      </c>
      <c r="D52" s="52" t="s">
        <v>5531</v>
      </c>
      <c r="E52" s="52" t="s">
        <v>107</v>
      </c>
      <c r="F52" s="52" t="s">
        <v>3917</v>
      </c>
      <c r="G52" s="52">
        <v>1.032409297E9</v>
      </c>
      <c r="H52" s="52" t="s">
        <v>3934</v>
      </c>
      <c r="I52" s="52" t="s">
        <v>112</v>
      </c>
      <c r="J52" s="52" t="s">
        <v>4963</v>
      </c>
      <c r="K52" s="52">
        <v>1.79507125E8</v>
      </c>
      <c r="L52" s="69">
        <v>45812.0</v>
      </c>
      <c r="M52" s="52" t="s">
        <v>5532</v>
      </c>
    </row>
    <row r="53">
      <c r="A53" s="52" t="s">
        <v>5426</v>
      </c>
      <c r="B53" s="52">
        <v>2.0251500034913E13</v>
      </c>
      <c r="C53" s="69">
        <v>45811.0</v>
      </c>
      <c r="D53" s="52" t="s">
        <v>5533</v>
      </c>
      <c r="E53" s="52" t="s">
        <v>177</v>
      </c>
      <c r="F53" s="52" t="s">
        <v>3917</v>
      </c>
      <c r="G53" s="52">
        <v>5.3040784E7</v>
      </c>
      <c r="H53" s="52" t="s">
        <v>4058</v>
      </c>
      <c r="I53" s="52" t="s">
        <v>181</v>
      </c>
      <c r="J53" s="52" t="s">
        <v>4927</v>
      </c>
      <c r="K53" s="52">
        <v>1.79518225E8</v>
      </c>
      <c r="L53" s="69">
        <v>45812.0</v>
      </c>
      <c r="M53" s="52" t="s">
        <v>5534</v>
      </c>
    </row>
    <row r="54">
      <c r="A54" s="52" t="s">
        <v>5426</v>
      </c>
      <c r="B54" s="52">
        <v>2.0251610034823E13</v>
      </c>
      <c r="C54" s="69">
        <v>45811.0</v>
      </c>
      <c r="D54" s="52" t="s">
        <v>5535</v>
      </c>
      <c r="E54" s="52" t="s">
        <v>780</v>
      </c>
      <c r="F54" s="52" t="s">
        <v>3944</v>
      </c>
      <c r="G54" s="52">
        <v>761786.0</v>
      </c>
      <c r="H54" s="52" t="s">
        <v>4321</v>
      </c>
      <c r="I54" s="52" t="s">
        <v>561</v>
      </c>
      <c r="J54" s="52" t="s">
        <v>4938</v>
      </c>
      <c r="K54" s="52">
        <v>1.93554725E8</v>
      </c>
      <c r="L54" s="69">
        <v>45820.0</v>
      </c>
      <c r="M54" s="52" t="s">
        <v>5494</v>
      </c>
    </row>
    <row r="55">
      <c r="A55" s="52" t="s">
        <v>5426</v>
      </c>
      <c r="B55" s="52">
        <v>2.0251010035143E13</v>
      </c>
      <c r="C55" s="69">
        <v>45811.0</v>
      </c>
      <c r="D55" s="52" t="s">
        <v>5536</v>
      </c>
      <c r="E55" s="52" t="s">
        <v>199</v>
      </c>
      <c r="F55" s="52" t="s">
        <v>3917</v>
      </c>
      <c r="G55" s="52">
        <v>1.013617963E9</v>
      </c>
      <c r="H55" s="52" t="s">
        <v>3973</v>
      </c>
      <c r="I55" s="52" t="s">
        <v>127</v>
      </c>
      <c r="J55" s="52" t="s">
        <v>4922</v>
      </c>
      <c r="K55" s="52">
        <v>1.81911125E8</v>
      </c>
      <c r="L55" s="69">
        <v>45813.0</v>
      </c>
      <c r="M55" s="52" t="s">
        <v>5537</v>
      </c>
    </row>
    <row r="56">
      <c r="A56" s="52" t="s">
        <v>5426</v>
      </c>
      <c r="B56" s="52">
        <v>2.0251800035153E13</v>
      </c>
      <c r="C56" s="69">
        <v>45811.0</v>
      </c>
      <c r="D56" s="52" t="s">
        <v>5538</v>
      </c>
      <c r="E56" s="52" t="s">
        <v>476</v>
      </c>
      <c r="F56" s="52" t="s">
        <v>3917</v>
      </c>
      <c r="G56" s="52">
        <v>9528037.0</v>
      </c>
      <c r="H56" s="52" t="s">
        <v>3951</v>
      </c>
      <c r="I56" s="52" t="s">
        <v>468</v>
      </c>
      <c r="J56" s="52" t="s">
        <v>4954</v>
      </c>
      <c r="K56" s="52">
        <v>1.81818225E8</v>
      </c>
      <c r="L56" s="69">
        <v>45813.0</v>
      </c>
      <c r="M56" s="52" t="s">
        <v>5539</v>
      </c>
    </row>
    <row r="57">
      <c r="A57" s="52" t="s">
        <v>5426</v>
      </c>
      <c r="B57" s="52">
        <v>2.0251010035163E13</v>
      </c>
      <c r="C57" s="69">
        <v>45811.0</v>
      </c>
      <c r="D57" s="52" t="s">
        <v>5540</v>
      </c>
      <c r="E57" s="52" t="s">
        <v>1233</v>
      </c>
      <c r="F57" s="52" t="s">
        <v>3917</v>
      </c>
      <c r="G57" s="52">
        <v>1.019060968E9</v>
      </c>
      <c r="H57" s="52" t="s">
        <v>5076</v>
      </c>
      <c r="I57" s="52" t="s">
        <v>3649</v>
      </c>
      <c r="J57" s="52" t="s">
        <v>4922</v>
      </c>
      <c r="K57" s="52">
        <v>1.81932625E8</v>
      </c>
      <c r="L57" s="69">
        <v>45813.0</v>
      </c>
      <c r="M57" s="52" t="s">
        <v>5494</v>
      </c>
    </row>
    <row r="58">
      <c r="A58" s="52" t="s">
        <v>5426</v>
      </c>
      <c r="B58" s="52">
        <v>2.0251000035173E13</v>
      </c>
      <c r="C58" s="69">
        <v>45811.0</v>
      </c>
      <c r="D58" s="52" t="s">
        <v>5541</v>
      </c>
      <c r="E58" s="52" t="s">
        <v>224</v>
      </c>
      <c r="F58" s="52" t="s">
        <v>3917</v>
      </c>
      <c r="G58" s="52">
        <v>1.073512831E9</v>
      </c>
      <c r="H58" s="52" t="s">
        <v>3930</v>
      </c>
      <c r="I58" s="52" t="s">
        <v>1397</v>
      </c>
      <c r="J58" s="52" t="s">
        <v>4954</v>
      </c>
      <c r="K58" s="52">
        <v>1.83788325E8</v>
      </c>
      <c r="L58" s="69">
        <v>45814.0</v>
      </c>
      <c r="M58" s="52" t="s">
        <v>5542</v>
      </c>
    </row>
    <row r="59">
      <c r="A59" s="52" t="s">
        <v>5426</v>
      </c>
      <c r="B59" s="52">
        <v>2.0251700035193E13</v>
      </c>
      <c r="C59" s="69">
        <v>45811.0</v>
      </c>
      <c r="D59" s="52" t="s">
        <v>5543</v>
      </c>
      <c r="E59" s="52" t="s">
        <v>2724</v>
      </c>
      <c r="F59" s="52" t="s">
        <v>3917</v>
      </c>
      <c r="G59" s="52">
        <v>1.015393939E9</v>
      </c>
      <c r="H59" s="52" t="s">
        <v>4162</v>
      </c>
      <c r="I59" s="52" t="s">
        <v>4472</v>
      </c>
      <c r="J59" s="52" t="s">
        <v>4932</v>
      </c>
      <c r="K59" s="52">
        <v>1.83861025E8</v>
      </c>
      <c r="L59" s="69">
        <v>45814.0</v>
      </c>
      <c r="M59" s="52" t="s">
        <v>5544</v>
      </c>
    </row>
    <row r="60">
      <c r="A60" s="52" t="s">
        <v>5426</v>
      </c>
      <c r="B60" s="52">
        <v>2.0251530035203E13</v>
      </c>
      <c r="C60" s="69">
        <v>45811.0</v>
      </c>
      <c r="D60" s="52" t="s">
        <v>5545</v>
      </c>
      <c r="E60" s="52" t="s">
        <v>1163</v>
      </c>
      <c r="F60" s="52" t="s">
        <v>3917</v>
      </c>
      <c r="G60" s="52">
        <v>1.05377392E9</v>
      </c>
      <c r="H60" s="52" t="s">
        <v>3989</v>
      </c>
      <c r="I60" s="52" t="s">
        <v>4433</v>
      </c>
      <c r="J60" s="52" t="s">
        <v>4927</v>
      </c>
      <c r="K60" s="52">
        <v>1.84892525E8</v>
      </c>
      <c r="L60" s="69">
        <v>45814.0</v>
      </c>
      <c r="M60" s="52" t="s">
        <v>5486</v>
      </c>
    </row>
    <row r="61">
      <c r="A61" s="52" t="s">
        <v>5426</v>
      </c>
      <c r="B61" s="52">
        <v>2.0251610034793E13</v>
      </c>
      <c r="C61" s="69">
        <v>45811.0</v>
      </c>
      <c r="D61" s="52" t="s">
        <v>5546</v>
      </c>
      <c r="E61" s="52" t="s">
        <v>353</v>
      </c>
      <c r="F61" s="52" t="s">
        <v>3917</v>
      </c>
      <c r="G61" s="52">
        <v>1.018453844E9</v>
      </c>
      <c r="H61" s="52" t="s">
        <v>4017</v>
      </c>
      <c r="I61" s="52" t="s">
        <v>318</v>
      </c>
      <c r="J61" s="52" t="s">
        <v>4938</v>
      </c>
      <c r="K61" s="52">
        <v>1.79643225E8</v>
      </c>
      <c r="L61" s="69">
        <v>45812.0</v>
      </c>
      <c r="M61" s="52" t="s">
        <v>5544</v>
      </c>
    </row>
    <row r="62">
      <c r="A62" s="52" t="s">
        <v>5426</v>
      </c>
      <c r="B62" s="52">
        <v>2.0251610034803E13</v>
      </c>
      <c r="C62" s="69">
        <v>45811.0</v>
      </c>
      <c r="D62" s="52" t="s">
        <v>5547</v>
      </c>
      <c r="E62" s="52" t="s">
        <v>320</v>
      </c>
      <c r="F62" s="52" t="s">
        <v>3917</v>
      </c>
      <c r="G62" s="52">
        <v>5.2866537E7</v>
      </c>
      <c r="H62" s="52" t="s">
        <v>4020</v>
      </c>
      <c r="I62" s="52" t="s">
        <v>318</v>
      </c>
      <c r="J62" s="52" t="s">
        <v>4938</v>
      </c>
      <c r="K62" s="52">
        <v>1.79612425E8</v>
      </c>
      <c r="L62" s="69">
        <v>45812.0</v>
      </c>
      <c r="M62" s="52" t="s">
        <v>5544</v>
      </c>
    </row>
    <row r="63">
      <c r="A63" s="52" t="s">
        <v>5426</v>
      </c>
      <c r="B63" s="52">
        <v>2.0251610034903E13</v>
      </c>
      <c r="C63" s="69">
        <v>45811.0</v>
      </c>
      <c r="D63" s="52" t="s">
        <v>5548</v>
      </c>
      <c r="E63" s="52" t="s">
        <v>4309</v>
      </c>
      <c r="F63" s="52" t="s">
        <v>3917</v>
      </c>
      <c r="G63" s="52">
        <v>7.97447E7</v>
      </c>
      <c r="H63" s="52" t="s">
        <v>4310</v>
      </c>
      <c r="I63" s="52" t="s">
        <v>318</v>
      </c>
      <c r="J63" s="52" t="s">
        <v>4938</v>
      </c>
      <c r="K63" s="52" t="s">
        <v>5549</v>
      </c>
      <c r="L63" s="69">
        <v>45813.0</v>
      </c>
      <c r="M63" s="52" t="s">
        <v>5550</v>
      </c>
    </row>
    <row r="64">
      <c r="A64" s="52" t="s">
        <v>5426</v>
      </c>
      <c r="B64" s="52">
        <v>2.0251010034943E13</v>
      </c>
      <c r="C64" s="69">
        <v>45811.0</v>
      </c>
      <c r="D64" s="52" t="s">
        <v>5551</v>
      </c>
      <c r="E64" s="52" t="s">
        <v>423</v>
      </c>
      <c r="F64" s="52" t="s">
        <v>3917</v>
      </c>
      <c r="G64" s="52">
        <v>1.020786621E9</v>
      </c>
      <c r="H64" s="52" t="s">
        <v>3928</v>
      </c>
      <c r="I64" s="52" t="s">
        <v>428</v>
      </c>
      <c r="J64" s="52" t="s">
        <v>4922</v>
      </c>
      <c r="K64" s="52">
        <v>1.84177825E8</v>
      </c>
      <c r="L64" s="69">
        <v>45814.0</v>
      </c>
      <c r="M64" s="52" t="s">
        <v>5453</v>
      </c>
    </row>
    <row r="65">
      <c r="A65" s="52" t="s">
        <v>5426</v>
      </c>
      <c r="B65" s="52">
        <v>2.0251020035113E13</v>
      </c>
      <c r="C65" s="69">
        <v>45811.0</v>
      </c>
      <c r="D65" s="52" t="s">
        <v>5552</v>
      </c>
      <c r="E65" s="52" t="s">
        <v>2764</v>
      </c>
      <c r="F65" s="52" t="s">
        <v>3917</v>
      </c>
      <c r="G65" s="52">
        <v>8.0229481E7</v>
      </c>
      <c r="H65" s="52" t="s">
        <v>4754</v>
      </c>
      <c r="I65" s="52" t="s">
        <v>4690</v>
      </c>
      <c r="J65" s="52" t="s">
        <v>4976</v>
      </c>
      <c r="K65" s="52">
        <v>1.99930225E8</v>
      </c>
      <c r="L65" s="69">
        <v>45826.0</v>
      </c>
      <c r="M65" s="52" t="s">
        <v>5553</v>
      </c>
    </row>
    <row r="66">
      <c r="A66" s="52" t="s">
        <v>5426</v>
      </c>
      <c r="B66" s="52">
        <v>2.0251610035133E13</v>
      </c>
      <c r="C66" s="69">
        <v>45811.0</v>
      </c>
      <c r="D66" s="52" t="s">
        <v>5554</v>
      </c>
      <c r="E66" s="52" t="s">
        <v>758</v>
      </c>
      <c r="F66" s="52" t="s">
        <v>3917</v>
      </c>
      <c r="G66" s="52">
        <v>1.026592381E9</v>
      </c>
      <c r="H66" s="52" t="s">
        <v>4272</v>
      </c>
      <c r="I66" s="52" t="s">
        <v>92</v>
      </c>
      <c r="J66" s="52" t="s">
        <v>4914</v>
      </c>
      <c r="K66" s="52">
        <v>1.93555825E8</v>
      </c>
      <c r="L66" s="69">
        <v>45820.0</v>
      </c>
      <c r="M66" s="52" t="s">
        <v>5494</v>
      </c>
    </row>
    <row r="67">
      <c r="A67" s="52" t="s">
        <v>5426</v>
      </c>
      <c r="B67" s="52">
        <v>2.0251140035213E13</v>
      </c>
      <c r="C67" s="69">
        <v>45811.0</v>
      </c>
      <c r="D67" s="52" t="s">
        <v>5555</v>
      </c>
      <c r="E67" s="52" t="s">
        <v>54</v>
      </c>
      <c r="F67" s="52" t="s">
        <v>3917</v>
      </c>
      <c r="G67" s="52">
        <v>1.082863101E9</v>
      </c>
      <c r="H67" s="52" t="s">
        <v>4208</v>
      </c>
      <c r="I67" s="52" t="s">
        <v>4659</v>
      </c>
      <c r="J67" s="52" t="s">
        <v>4914</v>
      </c>
      <c r="K67" s="52">
        <v>1.79656525E8</v>
      </c>
      <c r="L67" s="69">
        <v>45812.0</v>
      </c>
      <c r="M67" s="52" t="s">
        <v>5464</v>
      </c>
    </row>
    <row r="68">
      <c r="A68" s="52" t="s">
        <v>5426</v>
      </c>
      <c r="B68" s="52">
        <v>2.0251800035243E13</v>
      </c>
      <c r="C68" s="69">
        <v>45811.0</v>
      </c>
      <c r="D68" s="52" t="s">
        <v>5556</v>
      </c>
      <c r="E68" s="52" t="s">
        <v>401</v>
      </c>
      <c r="F68" s="52" t="s">
        <v>3917</v>
      </c>
      <c r="G68" s="52">
        <v>1.090383442E9</v>
      </c>
      <c r="H68" s="52" t="s">
        <v>3918</v>
      </c>
      <c r="I68" s="52" t="s">
        <v>405</v>
      </c>
      <c r="J68" s="52" t="s">
        <v>4954</v>
      </c>
      <c r="K68" s="52">
        <v>1.83877225E8</v>
      </c>
      <c r="L68" s="69">
        <v>45814.0</v>
      </c>
      <c r="M68" s="52" t="s">
        <v>5518</v>
      </c>
    </row>
    <row r="69">
      <c r="A69" s="52" t="s">
        <v>5426</v>
      </c>
      <c r="B69" s="52">
        <v>2.0251700035253E13</v>
      </c>
      <c r="C69" s="69">
        <v>45811.0</v>
      </c>
      <c r="D69" s="52" t="s">
        <v>5557</v>
      </c>
      <c r="E69" s="52" t="s">
        <v>5186</v>
      </c>
      <c r="F69" s="52" t="s">
        <v>3917</v>
      </c>
      <c r="G69" s="52">
        <v>1.018472611E9</v>
      </c>
      <c r="H69" s="52" t="s">
        <v>4325</v>
      </c>
      <c r="I69" s="52" t="s">
        <v>4806</v>
      </c>
      <c r="J69" s="52" t="s">
        <v>4932</v>
      </c>
      <c r="K69" s="52">
        <v>1.80370025E8</v>
      </c>
      <c r="L69" s="69">
        <v>45813.0</v>
      </c>
      <c r="M69" s="52" t="s">
        <v>5544</v>
      </c>
    </row>
    <row r="70">
      <c r="A70" s="52" t="s">
        <v>5426</v>
      </c>
      <c r="B70" s="52">
        <v>2.0251140035263E13</v>
      </c>
      <c r="C70" s="69">
        <v>45811.0</v>
      </c>
      <c r="D70" s="52" t="s">
        <v>5558</v>
      </c>
      <c r="E70" s="52" t="s">
        <v>63</v>
      </c>
      <c r="F70" s="52" t="s">
        <v>3917</v>
      </c>
      <c r="G70" s="52">
        <v>1.019094411E9</v>
      </c>
      <c r="H70" s="52" t="s">
        <v>3932</v>
      </c>
      <c r="I70" s="52" t="s">
        <v>4659</v>
      </c>
      <c r="J70" s="52" t="s">
        <v>4914</v>
      </c>
      <c r="K70" s="52">
        <v>1.80382825E8</v>
      </c>
      <c r="L70" s="69">
        <v>45813.0</v>
      </c>
      <c r="M70" s="52" t="s">
        <v>5464</v>
      </c>
    </row>
    <row r="71">
      <c r="A71" s="52" t="s">
        <v>5426</v>
      </c>
      <c r="B71" s="52">
        <v>2.0251130035373E13</v>
      </c>
      <c r="C71" s="69">
        <v>45811.0</v>
      </c>
      <c r="D71" s="52" t="s">
        <v>5559</v>
      </c>
      <c r="E71" s="52" t="s">
        <v>5560</v>
      </c>
      <c r="F71" s="52" t="s">
        <v>3917</v>
      </c>
      <c r="G71" s="52">
        <v>5.2713391E7</v>
      </c>
      <c r="H71" s="52" t="s">
        <v>3987</v>
      </c>
      <c r="I71" s="52" t="s">
        <v>4725</v>
      </c>
      <c r="J71" s="52" t="s">
        <v>4914</v>
      </c>
      <c r="K71" s="52">
        <v>1.84152725E8</v>
      </c>
      <c r="L71" s="69">
        <v>45814.0</v>
      </c>
      <c r="M71" s="52" t="s">
        <v>5561</v>
      </c>
    </row>
    <row r="72">
      <c r="A72" s="52" t="s">
        <v>5426</v>
      </c>
      <c r="B72" s="52">
        <v>2.0251010035283E13</v>
      </c>
      <c r="C72" s="69">
        <v>45811.0</v>
      </c>
      <c r="D72" s="52" t="s">
        <v>5562</v>
      </c>
      <c r="E72" s="52" t="s">
        <v>1005</v>
      </c>
      <c r="F72" s="52" t="s">
        <v>3917</v>
      </c>
      <c r="G72" s="52">
        <v>5.2498078E7</v>
      </c>
      <c r="H72" s="52" t="s">
        <v>4262</v>
      </c>
      <c r="I72" s="52" t="s">
        <v>428</v>
      </c>
      <c r="J72" s="52" t="s">
        <v>4922</v>
      </c>
      <c r="K72" s="52">
        <v>1.93555325E8</v>
      </c>
      <c r="L72" s="69">
        <v>45820.0</v>
      </c>
      <c r="M72" s="52" t="s">
        <v>5563</v>
      </c>
    </row>
    <row r="73">
      <c r="A73" s="52" t="s">
        <v>5426</v>
      </c>
      <c r="B73" s="52">
        <v>2.0251610035313E13</v>
      </c>
      <c r="C73" s="69">
        <v>45811.0</v>
      </c>
      <c r="D73" s="52" t="s">
        <v>5564</v>
      </c>
      <c r="E73" s="52" t="s">
        <v>290</v>
      </c>
      <c r="F73" s="52" t="s">
        <v>3917</v>
      </c>
      <c r="G73" s="52">
        <v>1.014183131E9</v>
      </c>
      <c r="H73" s="52" t="s">
        <v>4102</v>
      </c>
      <c r="I73" s="52" t="s">
        <v>92</v>
      </c>
      <c r="J73" s="52" t="s">
        <v>4914</v>
      </c>
      <c r="K73" s="52">
        <v>1.93557225E8</v>
      </c>
      <c r="L73" s="69">
        <v>45820.0</v>
      </c>
      <c r="M73" s="52" t="s">
        <v>5565</v>
      </c>
    </row>
    <row r="74">
      <c r="A74" s="52" t="s">
        <v>5426</v>
      </c>
      <c r="B74" s="52">
        <v>2.0251610035393E13</v>
      </c>
      <c r="C74" s="69">
        <v>45811.0</v>
      </c>
      <c r="D74" s="52" t="s">
        <v>5566</v>
      </c>
      <c r="E74" s="52" t="s">
        <v>87</v>
      </c>
      <c r="F74" s="52" t="s">
        <v>3917</v>
      </c>
      <c r="G74" s="52">
        <v>1.02078112E9</v>
      </c>
      <c r="H74" s="52" t="s">
        <v>4087</v>
      </c>
      <c r="I74" s="52" t="s">
        <v>92</v>
      </c>
      <c r="J74" s="52" t="s">
        <v>4914</v>
      </c>
      <c r="K74" s="52">
        <v>1.93559325E8</v>
      </c>
      <c r="L74" s="69">
        <v>45820.0</v>
      </c>
      <c r="M74" s="52" t="s">
        <v>5565</v>
      </c>
    </row>
    <row r="75">
      <c r="A75" s="52" t="s">
        <v>5426</v>
      </c>
      <c r="B75" s="52">
        <v>2.0251120035433E13</v>
      </c>
      <c r="C75" s="69">
        <v>45811.0</v>
      </c>
      <c r="D75" s="52" t="s">
        <v>5567</v>
      </c>
      <c r="E75" s="52" t="s">
        <v>237</v>
      </c>
      <c r="F75" s="52" t="s">
        <v>3917</v>
      </c>
      <c r="G75" s="52">
        <v>9.1251483E7</v>
      </c>
      <c r="H75" s="52" t="s">
        <v>4013</v>
      </c>
      <c r="I75" s="52" t="s">
        <v>4554</v>
      </c>
      <c r="J75" s="52" t="s">
        <v>4914</v>
      </c>
      <c r="K75" s="52">
        <v>1.93559825E8</v>
      </c>
      <c r="L75" s="69">
        <v>45820.0</v>
      </c>
      <c r="M75" s="52" t="s">
        <v>5568</v>
      </c>
    </row>
    <row r="76">
      <c r="A76" s="52" t="s">
        <v>5426</v>
      </c>
      <c r="B76" s="52">
        <v>2.0251010035403E13</v>
      </c>
      <c r="C76" s="69">
        <v>45811.0</v>
      </c>
      <c r="D76" s="52" t="s">
        <v>5569</v>
      </c>
      <c r="E76" s="52" t="s">
        <v>1061</v>
      </c>
      <c r="F76" s="52" t="s">
        <v>3917</v>
      </c>
      <c r="G76" s="52">
        <v>1.010233207E9</v>
      </c>
      <c r="H76" s="52" t="s">
        <v>4249</v>
      </c>
      <c r="I76" s="52" t="s">
        <v>127</v>
      </c>
      <c r="J76" s="52" t="s">
        <v>4922</v>
      </c>
      <c r="K76" s="52">
        <v>1.84100325E8</v>
      </c>
      <c r="L76" s="69">
        <v>45814.0</v>
      </c>
      <c r="M76" s="52" t="s">
        <v>5563</v>
      </c>
    </row>
    <row r="77">
      <c r="A77" s="52" t="s">
        <v>5426</v>
      </c>
      <c r="B77" s="52">
        <v>2.0251020035423E13</v>
      </c>
      <c r="C77" s="69">
        <v>45811.0</v>
      </c>
      <c r="D77" s="52" t="s">
        <v>5570</v>
      </c>
      <c r="E77" s="52" t="s">
        <v>1029</v>
      </c>
      <c r="F77" s="52" t="s">
        <v>3917</v>
      </c>
      <c r="G77" s="52">
        <v>5.2515178E7</v>
      </c>
      <c r="H77" s="52" t="s">
        <v>4430</v>
      </c>
      <c r="I77" s="52" t="s">
        <v>4703</v>
      </c>
      <c r="J77" s="52" t="s">
        <v>4976</v>
      </c>
      <c r="K77" s="52">
        <v>1.84169125E8</v>
      </c>
      <c r="L77" s="69">
        <v>45814.0</v>
      </c>
      <c r="M77" s="52" t="s">
        <v>5571</v>
      </c>
    </row>
    <row r="78">
      <c r="A78" s="52" t="s">
        <v>5426</v>
      </c>
      <c r="B78" s="52">
        <v>2.0251000034633E13</v>
      </c>
      <c r="C78" s="69">
        <v>45812.0</v>
      </c>
      <c r="D78" s="52" t="s">
        <v>5572</v>
      </c>
      <c r="E78" s="52" t="s">
        <v>1143</v>
      </c>
      <c r="F78" s="52" t="s">
        <v>3917</v>
      </c>
      <c r="G78" s="52">
        <v>1.00022301E9</v>
      </c>
      <c r="H78" s="52" t="s">
        <v>4607</v>
      </c>
      <c r="I78" s="52" t="s">
        <v>657</v>
      </c>
      <c r="J78" s="52" t="s">
        <v>4947</v>
      </c>
      <c r="K78" s="52">
        <v>1.79609625E8</v>
      </c>
      <c r="L78" s="69">
        <v>45812.0</v>
      </c>
      <c r="M78" s="52" t="s">
        <v>5573</v>
      </c>
    </row>
    <row r="79">
      <c r="A79" s="52" t="s">
        <v>5426</v>
      </c>
      <c r="B79" s="52">
        <v>2.0251000035563E13</v>
      </c>
      <c r="C79" s="69">
        <v>45812.0</v>
      </c>
      <c r="D79" s="52" t="s">
        <v>5574</v>
      </c>
      <c r="E79" s="52" t="s">
        <v>5575</v>
      </c>
      <c r="F79" s="52" t="s">
        <v>3917</v>
      </c>
      <c r="G79" s="52">
        <v>1.010101135E9</v>
      </c>
      <c r="H79" s="52" t="s">
        <v>4120</v>
      </c>
      <c r="I79" s="52" t="s">
        <v>657</v>
      </c>
      <c r="J79" s="52" t="s">
        <v>4947</v>
      </c>
      <c r="K79" s="52">
        <v>1.84850425E8</v>
      </c>
      <c r="L79" s="69">
        <v>45814.0</v>
      </c>
      <c r="M79" s="52" t="s">
        <v>5576</v>
      </c>
    </row>
    <row r="80">
      <c r="A80" s="52" t="s">
        <v>5426</v>
      </c>
      <c r="B80" s="52">
        <v>2.0251000035573E13</v>
      </c>
      <c r="C80" s="69">
        <v>45812.0</v>
      </c>
      <c r="D80" s="52" t="s">
        <v>5577</v>
      </c>
      <c r="E80" s="52" t="s">
        <v>5578</v>
      </c>
      <c r="F80" s="52" t="s">
        <v>3917</v>
      </c>
      <c r="G80" s="52">
        <v>7.9217264E7</v>
      </c>
      <c r="H80" s="52" t="s">
        <v>4560</v>
      </c>
      <c r="I80" s="52" t="s">
        <v>657</v>
      </c>
      <c r="J80" s="52" t="s">
        <v>4947</v>
      </c>
      <c r="K80" s="52" t="s">
        <v>5579</v>
      </c>
      <c r="L80" s="69">
        <v>45817.0</v>
      </c>
      <c r="M80" s="52" t="s">
        <v>5580</v>
      </c>
    </row>
    <row r="81">
      <c r="A81" s="52" t="s">
        <v>5426</v>
      </c>
      <c r="B81" s="52">
        <v>2.0251610035383E13</v>
      </c>
      <c r="C81" s="69">
        <v>45812.0</v>
      </c>
      <c r="D81" s="52" t="s">
        <v>5581</v>
      </c>
      <c r="E81" s="52" t="s">
        <v>740</v>
      </c>
      <c r="F81" s="52" t="s">
        <v>3917</v>
      </c>
      <c r="G81" s="52">
        <v>1.193095704E9</v>
      </c>
      <c r="H81" s="52" t="s">
        <v>4307</v>
      </c>
      <c r="I81" s="52" t="s">
        <v>92</v>
      </c>
      <c r="J81" s="52" t="s">
        <v>4914</v>
      </c>
      <c r="K81" s="52">
        <v>1.93561725E8</v>
      </c>
      <c r="L81" s="69">
        <v>45820.0</v>
      </c>
      <c r="M81" s="52" t="s">
        <v>5494</v>
      </c>
    </row>
    <row r="82">
      <c r="A82" s="52" t="s">
        <v>5426</v>
      </c>
      <c r="B82" s="52">
        <v>2.0251610035273E13</v>
      </c>
      <c r="C82" s="69">
        <v>45812.0</v>
      </c>
      <c r="D82" s="52" t="s">
        <v>5582</v>
      </c>
      <c r="E82" s="52" t="s">
        <v>562</v>
      </c>
      <c r="F82" s="52" t="s">
        <v>3917</v>
      </c>
      <c r="G82" s="52">
        <v>1.144099527E9</v>
      </c>
      <c r="H82" s="52" t="s">
        <v>4015</v>
      </c>
      <c r="I82" s="52" t="s">
        <v>561</v>
      </c>
      <c r="J82" s="52" t="s">
        <v>4938</v>
      </c>
      <c r="K82" s="52">
        <v>1.93561025E8</v>
      </c>
      <c r="L82" s="69">
        <v>45820.0</v>
      </c>
      <c r="M82" s="52" t="s">
        <v>5583</v>
      </c>
    </row>
    <row r="83">
      <c r="A83" s="52" t="s">
        <v>5426</v>
      </c>
      <c r="B83" s="52">
        <v>2.0251000035583E13</v>
      </c>
      <c r="C83" s="69">
        <v>45812.0</v>
      </c>
      <c r="D83" s="52" t="s">
        <v>5584</v>
      </c>
      <c r="E83" s="52" t="s">
        <v>5585</v>
      </c>
      <c r="F83" s="52" t="s">
        <v>3917</v>
      </c>
      <c r="G83" s="52">
        <v>1.030562466E9</v>
      </c>
      <c r="H83" s="52" t="s">
        <v>4853</v>
      </c>
      <c r="I83" s="52" t="s">
        <v>657</v>
      </c>
      <c r="J83" s="52" t="s">
        <v>4947</v>
      </c>
      <c r="K83" s="52">
        <v>1.83864925E8</v>
      </c>
      <c r="L83" s="69">
        <v>45814.0</v>
      </c>
      <c r="M83" s="52" t="s">
        <v>5586</v>
      </c>
    </row>
    <row r="84">
      <c r="A84" s="52" t="s">
        <v>5426</v>
      </c>
      <c r="B84" s="52">
        <v>2.0251000035603E13</v>
      </c>
      <c r="C84" s="69">
        <v>45812.0</v>
      </c>
      <c r="D84" s="52" t="s">
        <v>5587</v>
      </c>
      <c r="E84" s="52" t="s">
        <v>1269</v>
      </c>
      <c r="F84" s="52" t="s">
        <v>3917</v>
      </c>
      <c r="G84" s="52">
        <v>1.032359288E9</v>
      </c>
      <c r="H84" s="52" t="s">
        <v>5204</v>
      </c>
      <c r="I84" s="52" t="s">
        <v>2663</v>
      </c>
      <c r="J84" s="52" t="s">
        <v>4947</v>
      </c>
      <c r="K84" s="52">
        <v>1.83806025E8</v>
      </c>
      <c r="L84" s="69">
        <v>45814.0</v>
      </c>
      <c r="M84" s="52" t="s">
        <v>5588</v>
      </c>
    </row>
    <row r="85">
      <c r="A85" s="52" t="s">
        <v>5426</v>
      </c>
      <c r="B85" s="52">
        <v>2.0251000035613E13</v>
      </c>
      <c r="C85" s="69">
        <v>45812.0</v>
      </c>
      <c r="D85" s="52" t="s">
        <v>5589</v>
      </c>
      <c r="E85" s="52" t="s">
        <v>1287</v>
      </c>
      <c r="F85" s="52" t="s">
        <v>3917</v>
      </c>
      <c r="G85" s="52">
        <v>1.088304014E9</v>
      </c>
      <c r="H85" s="52" t="s">
        <v>5356</v>
      </c>
      <c r="I85" s="52" t="s">
        <v>2663</v>
      </c>
      <c r="J85" s="52" t="s">
        <v>4947</v>
      </c>
      <c r="K85" s="52">
        <v>1.83858425E8</v>
      </c>
      <c r="L85" s="69">
        <v>45814.0</v>
      </c>
      <c r="M85" s="52" t="s">
        <v>5590</v>
      </c>
    </row>
    <row r="86">
      <c r="A86" s="52" t="s">
        <v>5426</v>
      </c>
      <c r="B86" s="52">
        <v>2.0251000035623E13</v>
      </c>
      <c r="C86" s="69">
        <v>45812.0</v>
      </c>
      <c r="D86" s="52" t="s">
        <v>5591</v>
      </c>
      <c r="E86" s="52" t="s">
        <v>114</v>
      </c>
      <c r="F86" s="52" t="s">
        <v>3917</v>
      </c>
      <c r="G86" s="52">
        <v>5.235846E7</v>
      </c>
      <c r="H86" s="52" t="s">
        <v>4104</v>
      </c>
      <c r="I86" s="52" t="s">
        <v>2663</v>
      </c>
      <c r="J86" s="52" t="s">
        <v>4947</v>
      </c>
      <c r="K86" s="52">
        <v>1.83905825E8</v>
      </c>
      <c r="L86" s="69">
        <v>45814.0</v>
      </c>
      <c r="M86" s="52" t="s">
        <v>5453</v>
      </c>
    </row>
    <row r="87">
      <c r="A87" s="52" t="s">
        <v>5426</v>
      </c>
      <c r="B87" s="52">
        <v>2.0251000035693E13</v>
      </c>
      <c r="C87" s="69">
        <v>45812.0</v>
      </c>
      <c r="D87" s="52" t="s">
        <v>5592</v>
      </c>
      <c r="E87" s="52" t="s">
        <v>338</v>
      </c>
      <c r="F87" s="52" t="s">
        <v>3917</v>
      </c>
      <c r="G87" s="52">
        <v>1.136879313E9</v>
      </c>
      <c r="H87" s="52" t="s">
        <v>4144</v>
      </c>
      <c r="I87" s="52" t="s">
        <v>2663</v>
      </c>
      <c r="J87" s="52" t="s">
        <v>4947</v>
      </c>
      <c r="K87" s="52">
        <v>1.84172125E8</v>
      </c>
      <c r="L87" s="69">
        <v>45814.0</v>
      </c>
      <c r="M87" s="52" t="s">
        <v>5523</v>
      </c>
    </row>
    <row r="88">
      <c r="A88" s="52" t="s">
        <v>5426</v>
      </c>
      <c r="B88" s="52">
        <v>2.0251000035703E13</v>
      </c>
      <c r="C88" s="69">
        <v>45812.0</v>
      </c>
      <c r="D88" s="52" t="s">
        <v>5593</v>
      </c>
      <c r="E88" s="52" t="s">
        <v>3465</v>
      </c>
      <c r="F88" s="52" t="s">
        <v>3917</v>
      </c>
      <c r="G88" s="52">
        <v>1.031141613E9</v>
      </c>
      <c r="H88" s="52" t="s">
        <v>4533</v>
      </c>
      <c r="I88" s="52" t="s">
        <v>2663</v>
      </c>
      <c r="J88" s="52" t="s">
        <v>4947</v>
      </c>
      <c r="K88" s="52">
        <v>1.84819825E8</v>
      </c>
      <c r="L88" s="69">
        <v>45814.0</v>
      </c>
      <c r="M88" s="52" t="s">
        <v>5594</v>
      </c>
    </row>
    <row r="89">
      <c r="A89" s="52" t="s">
        <v>5426</v>
      </c>
      <c r="B89" s="52">
        <v>2.0251120035713E13</v>
      </c>
      <c r="C89" s="69">
        <v>45812.0</v>
      </c>
      <c r="D89" s="52" t="s">
        <v>5595</v>
      </c>
      <c r="E89" s="52" t="s">
        <v>525</v>
      </c>
      <c r="F89" s="52" t="s">
        <v>3917</v>
      </c>
      <c r="G89" s="52">
        <v>7687651.0</v>
      </c>
      <c r="H89" s="52" t="s">
        <v>3965</v>
      </c>
      <c r="I89" s="52" t="s">
        <v>4356</v>
      </c>
      <c r="J89" s="52" t="s">
        <v>4914</v>
      </c>
      <c r="K89" s="52">
        <v>1.84165025E8</v>
      </c>
      <c r="L89" s="69">
        <v>45814.0</v>
      </c>
      <c r="M89" s="52" t="s">
        <v>5568</v>
      </c>
    </row>
    <row r="90">
      <c r="A90" s="52" t="s">
        <v>5426</v>
      </c>
      <c r="B90" s="52">
        <v>2.0251130035733E13</v>
      </c>
      <c r="C90" s="69">
        <v>45812.0</v>
      </c>
      <c r="D90" s="52" t="s">
        <v>5596</v>
      </c>
      <c r="E90" s="52" t="s">
        <v>270</v>
      </c>
      <c r="F90" s="52" t="s">
        <v>3917</v>
      </c>
      <c r="G90" s="52">
        <v>1.110550504E9</v>
      </c>
      <c r="H90" s="52" t="s">
        <v>4066</v>
      </c>
      <c r="I90" s="52" t="s">
        <v>274</v>
      </c>
      <c r="J90" s="52" t="s">
        <v>4914</v>
      </c>
      <c r="K90" s="52">
        <v>1.83866725E8</v>
      </c>
      <c r="L90" s="69">
        <v>45814.0</v>
      </c>
      <c r="M90" s="52" t="s">
        <v>5597</v>
      </c>
    </row>
    <row r="91">
      <c r="A91" s="52" t="s">
        <v>5426</v>
      </c>
      <c r="B91" s="52">
        <v>2.0251130035763E13</v>
      </c>
      <c r="C91" s="69">
        <v>45812.0</v>
      </c>
      <c r="D91" s="52" t="s">
        <v>5598</v>
      </c>
      <c r="E91" s="52" t="s">
        <v>1109</v>
      </c>
      <c r="F91" s="52" t="s">
        <v>3917</v>
      </c>
      <c r="G91" s="52">
        <v>5.3009738E7</v>
      </c>
      <c r="H91" s="52" t="s">
        <v>4474</v>
      </c>
      <c r="I91" s="52" t="s">
        <v>274</v>
      </c>
      <c r="J91" s="52" t="s">
        <v>4914</v>
      </c>
      <c r="K91" s="52">
        <v>2.07336725E8</v>
      </c>
      <c r="L91" s="69">
        <v>45828.0</v>
      </c>
      <c r="M91" s="52" t="s">
        <v>5599</v>
      </c>
    </row>
    <row r="92">
      <c r="A92" s="52" t="s">
        <v>5426</v>
      </c>
      <c r="B92" s="52">
        <v>2.0251120035723E13</v>
      </c>
      <c r="C92" s="69">
        <v>45812.0</v>
      </c>
      <c r="D92" s="52" t="s">
        <v>5600</v>
      </c>
      <c r="E92" s="52" t="s">
        <v>5601</v>
      </c>
      <c r="F92" s="52" t="s">
        <v>3917</v>
      </c>
      <c r="G92" s="52">
        <v>1.054679552E9</v>
      </c>
      <c r="H92" s="52" t="s">
        <v>3967</v>
      </c>
      <c r="I92" s="52" t="s">
        <v>4356</v>
      </c>
      <c r="J92" s="52" t="s">
        <v>4914</v>
      </c>
      <c r="K92" s="52">
        <v>1.93567025E8</v>
      </c>
      <c r="L92" s="69">
        <v>45820.0</v>
      </c>
      <c r="M92" s="52" t="s">
        <v>5568</v>
      </c>
    </row>
    <row r="93">
      <c r="A93" s="52" t="s">
        <v>5426</v>
      </c>
      <c r="B93" s="52">
        <v>2.0251610034923E13</v>
      </c>
      <c r="C93" s="69">
        <v>45812.0</v>
      </c>
      <c r="D93" s="52" t="s">
        <v>5602</v>
      </c>
      <c r="E93" s="52" t="s">
        <v>314</v>
      </c>
      <c r="F93" s="52" t="s">
        <v>3917</v>
      </c>
      <c r="G93" s="52">
        <v>1.019009968E9</v>
      </c>
      <c r="H93" s="52" t="s">
        <v>4036</v>
      </c>
      <c r="I93" s="52" t="s">
        <v>318</v>
      </c>
      <c r="J93" s="52" t="s">
        <v>4938</v>
      </c>
      <c r="K93" s="52">
        <v>1.81927825E8</v>
      </c>
      <c r="L93" s="69">
        <v>45813.0</v>
      </c>
      <c r="M93" s="52" t="s">
        <v>5603</v>
      </c>
    </row>
    <row r="94">
      <c r="A94" s="52" t="s">
        <v>5426</v>
      </c>
      <c r="B94" s="52">
        <v>2.0251800035783E13</v>
      </c>
      <c r="C94" s="69">
        <v>45812.0</v>
      </c>
      <c r="D94" s="52" t="s">
        <v>5604</v>
      </c>
      <c r="E94" s="52" t="s">
        <v>5605</v>
      </c>
      <c r="F94" s="52" t="s">
        <v>3917</v>
      </c>
      <c r="G94" s="52">
        <v>1.052394906E9</v>
      </c>
      <c r="H94" s="52" t="s">
        <v>4673</v>
      </c>
      <c r="I94" s="52" t="s">
        <v>4283</v>
      </c>
      <c r="J94" s="52" t="s">
        <v>4954</v>
      </c>
      <c r="K94" s="52">
        <v>1.83941825E8</v>
      </c>
      <c r="L94" s="69">
        <v>45814.0</v>
      </c>
      <c r="M94" s="52" t="s">
        <v>5434</v>
      </c>
    </row>
    <row r="95">
      <c r="A95" s="52" t="s">
        <v>5426</v>
      </c>
      <c r="B95" s="52">
        <v>2.0251400035823E13</v>
      </c>
      <c r="C95" s="69">
        <v>45812.0</v>
      </c>
      <c r="D95" s="52" t="s">
        <v>5606</v>
      </c>
      <c r="E95" s="52" t="s">
        <v>1114</v>
      </c>
      <c r="F95" s="52" t="s">
        <v>3917</v>
      </c>
      <c r="G95" s="52">
        <v>8.0012143E7</v>
      </c>
      <c r="H95" s="52" t="s">
        <v>4225</v>
      </c>
      <c r="I95" s="52" t="s">
        <v>666</v>
      </c>
      <c r="J95" s="52" t="s">
        <v>4963</v>
      </c>
      <c r="K95" s="52">
        <v>1.84118925E8</v>
      </c>
      <c r="L95" s="69">
        <v>45814.0</v>
      </c>
      <c r="M95" s="52" t="s">
        <v>5537</v>
      </c>
    </row>
    <row r="96">
      <c r="A96" s="52" t="s">
        <v>5426</v>
      </c>
      <c r="B96" s="52">
        <v>2.0251400035843E13</v>
      </c>
      <c r="C96" s="69">
        <v>45812.0</v>
      </c>
      <c r="D96" s="52" t="s">
        <v>5607</v>
      </c>
      <c r="E96" s="52" t="s">
        <v>5608</v>
      </c>
      <c r="F96" s="52" t="s">
        <v>3917</v>
      </c>
      <c r="G96" s="52">
        <v>1.069759231E9</v>
      </c>
      <c r="H96" s="52" t="s">
        <v>3975</v>
      </c>
      <c r="I96" s="52" t="s">
        <v>666</v>
      </c>
      <c r="J96" s="52" t="s">
        <v>4963</v>
      </c>
      <c r="K96" s="52">
        <v>1.84109825E8</v>
      </c>
      <c r="L96" s="69">
        <v>45814.0</v>
      </c>
      <c r="M96" s="52" t="s">
        <v>5565</v>
      </c>
    </row>
    <row r="97">
      <c r="A97" s="52" t="s">
        <v>5426</v>
      </c>
      <c r="B97" s="52">
        <v>2.0251610035223E13</v>
      </c>
      <c r="C97" s="69">
        <v>45812.0</v>
      </c>
      <c r="D97" s="52" t="s">
        <v>5609</v>
      </c>
      <c r="E97" s="52" t="s">
        <v>775</v>
      </c>
      <c r="F97" s="52" t="s">
        <v>3917</v>
      </c>
      <c r="G97" s="52">
        <v>1.053826184E9</v>
      </c>
      <c r="H97" s="52" t="s">
        <v>4323</v>
      </c>
      <c r="I97" s="52" t="s">
        <v>561</v>
      </c>
      <c r="J97" s="52" t="s">
        <v>4938</v>
      </c>
      <c r="K97" s="52">
        <v>1.93560225E8</v>
      </c>
      <c r="L97" s="69">
        <v>45820.0</v>
      </c>
      <c r="M97" s="52" t="s">
        <v>5610</v>
      </c>
    </row>
    <row r="98">
      <c r="A98" s="52" t="s">
        <v>5426</v>
      </c>
      <c r="B98" s="52">
        <v>2.0251020035813E13</v>
      </c>
      <c r="C98" s="69">
        <v>45812.0</v>
      </c>
      <c r="D98" s="52" t="s">
        <v>5611</v>
      </c>
      <c r="E98" s="52" t="s">
        <v>171</v>
      </c>
      <c r="F98" s="52" t="s">
        <v>3917</v>
      </c>
      <c r="G98" s="52">
        <v>1.014288171E9</v>
      </c>
      <c r="H98" s="52" t="s">
        <v>4093</v>
      </c>
      <c r="I98" s="52" t="s">
        <v>4295</v>
      </c>
      <c r="J98" s="52" t="s">
        <v>4976</v>
      </c>
      <c r="K98" s="52">
        <v>1.93571325E8</v>
      </c>
      <c r="L98" s="69">
        <v>45820.0</v>
      </c>
      <c r="M98" s="52" t="s">
        <v>5532</v>
      </c>
    </row>
    <row r="99">
      <c r="A99" s="52" t="s">
        <v>5426</v>
      </c>
      <c r="B99" s="52">
        <v>2.0251610035293E13</v>
      </c>
      <c r="C99" s="69">
        <v>45812.0</v>
      </c>
      <c r="D99" s="52" t="s">
        <v>5612</v>
      </c>
      <c r="E99" s="52" t="s">
        <v>212</v>
      </c>
      <c r="F99" s="52" t="s">
        <v>3917</v>
      </c>
      <c r="G99" s="52">
        <v>1.03249799E9</v>
      </c>
      <c r="H99" s="52" t="s">
        <v>5322</v>
      </c>
      <c r="I99" s="52" t="s">
        <v>1441</v>
      </c>
      <c r="J99" s="52" t="s">
        <v>4938</v>
      </c>
      <c r="K99" s="52">
        <v>1.93571825E8</v>
      </c>
      <c r="L99" s="69">
        <v>45820.0</v>
      </c>
      <c r="M99" s="52" t="s">
        <v>5494</v>
      </c>
    </row>
    <row r="100">
      <c r="A100" s="52" t="s">
        <v>5426</v>
      </c>
      <c r="B100" s="52">
        <v>2.0251610035773E13</v>
      </c>
      <c r="C100" s="69">
        <v>45812.0</v>
      </c>
      <c r="D100" s="52" t="s">
        <v>5613</v>
      </c>
      <c r="E100" s="52" t="s">
        <v>1013</v>
      </c>
      <c r="F100" s="52" t="s">
        <v>3917</v>
      </c>
      <c r="G100" s="52">
        <v>1.032445678E9</v>
      </c>
      <c r="H100" s="52" t="s">
        <v>4404</v>
      </c>
      <c r="I100" s="52" t="s">
        <v>561</v>
      </c>
      <c r="J100" s="52" t="s">
        <v>4938</v>
      </c>
      <c r="K100" s="52">
        <v>1.99924425E8</v>
      </c>
      <c r="L100" s="69">
        <v>45826.0</v>
      </c>
      <c r="M100" s="52" t="s">
        <v>5614</v>
      </c>
    </row>
    <row r="101">
      <c r="A101" s="52" t="s">
        <v>5426</v>
      </c>
      <c r="B101" s="52">
        <v>2.0251020035833E13</v>
      </c>
      <c r="C101" s="69">
        <v>45812.0</v>
      </c>
      <c r="D101" s="52" t="s">
        <v>5615</v>
      </c>
      <c r="E101" s="52" t="s">
        <v>2770</v>
      </c>
      <c r="F101" s="52" t="s">
        <v>3917</v>
      </c>
      <c r="G101" s="52">
        <v>1.233490485E9</v>
      </c>
      <c r="H101" s="52" t="s">
        <v>4160</v>
      </c>
      <c r="I101" s="52" t="s">
        <v>4295</v>
      </c>
      <c r="J101" s="52" t="s">
        <v>4976</v>
      </c>
      <c r="K101" s="52">
        <v>1.99924525E8</v>
      </c>
      <c r="L101" s="69">
        <v>45826.0</v>
      </c>
      <c r="M101" s="52" t="s">
        <v>5590</v>
      </c>
    </row>
    <row r="102">
      <c r="A102" s="52" t="s">
        <v>5426</v>
      </c>
      <c r="B102" s="52">
        <v>2.0251110035853E13</v>
      </c>
      <c r="C102" s="69">
        <v>45812.0</v>
      </c>
      <c r="D102" s="52" t="s">
        <v>5616</v>
      </c>
      <c r="E102" s="52" t="s">
        <v>363</v>
      </c>
      <c r="F102" s="52" t="s">
        <v>3917</v>
      </c>
      <c r="G102" s="52">
        <v>5.1568567E7</v>
      </c>
      <c r="H102" s="52" t="s">
        <v>3977</v>
      </c>
      <c r="I102" s="52" t="s">
        <v>2596</v>
      </c>
      <c r="J102" s="52" t="s">
        <v>4914</v>
      </c>
      <c r="K102" s="52">
        <v>1.81748125E8</v>
      </c>
      <c r="L102" s="69">
        <v>45813.0</v>
      </c>
      <c r="M102" s="52" t="s">
        <v>5617</v>
      </c>
    </row>
    <row r="103">
      <c r="A103" s="52" t="s">
        <v>5426</v>
      </c>
      <c r="B103" s="52">
        <v>2.0251500035863E13</v>
      </c>
      <c r="C103" s="69">
        <v>45812.0</v>
      </c>
      <c r="D103" s="52" t="s">
        <v>5618</v>
      </c>
      <c r="E103" s="52" t="s">
        <v>766</v>
      </c>
      <c r="F103" s="52" t="s">
        <v>3917</v>
      </c>
      <c r="G103" s="52">
        <v>1.078371849E9</v>
      </c>
      <c r="H103" s="52" t="s">
        <v>4335</v>
      </c>
      <c r="I103" s="52" t="s">
        <v>4336</v>
      </c>
      <c r="J103" s="52" t="s">
        <v>4927</v>
      </c>
      <c r="K103" s="52">
        <v>1.81758825E8</v>
      </c>
      <c r="L103" s="69">
        <v>45813.0</v>
      </c>
      <c r="M103" s="52" t="s">
        <v>5619</v>
      </c>
    </row>
    <row r="104">
      <c r="A104" s="52" t="s">
        <v>5426</v>
      </c>
      <c r="B104" s="52">
        <v>2.0251010035873E13</v>
      </c>
      <c r="C104" s="69">
        <v>45812.0</v>
      </c>
      <c r="D104" s="52" t="s">
        <v>5620</v>
      </c>
      <c r="E104" s="52" t="s">
        <v>2879</v>
      </c>
      <c r="F104" s="52" t="s">
        <v>3917</v>
      </c>
      <c r="G104" s="52">
        <v>5.3134639E7</v>
      </c>
      <c r="H104" s="52" t="s">
        <v>3953</v>
      </c>
      <c r="I104" s="52" t="s">
        <v>5621</v>
      </c>
      <c r="J104" s="52" t="s">
        <v>4922</v>
      </c>
      <c r="K104" s="52">
        <v>1.83871325E8</v>
      </c>
      <c r="L104" s="69">
        <v>45814.0</v>
      </c>
      <c r="M104" s="52" t="s">
        <v>5532</v>
      </c>
    </row>
    <row r="105">
      <c r="A105" s="52" t="s">
        <v>5426</v>
      </c>
      <c r="B105" s="52">
        <v>2.0251700035893E13</v>
      </c>
      <c r="C105" s="69">
        <v>45812.0</v>
      </c>
      <c r="D105" s="52" t="s">
        <v>5622</v>
      </c>
      <c r="E105" s="52" t="s">
        <v>4465</v>
      </c>
      <c r="F105" s="52" t="s">
        <v>3917</v>
      </c>
      <c r="G105" s="52">
        <v>1.057584892E9</v>
      </c>
      <c r="H105" s="52" t="s">
        <v>4466</v>
      </c>
      <c r="I105" s="52" t="s">
        <v>739</v>
      </c>
      <c r="J105" s="52" t="s">
        <v>4932</v>
      </c>
      <c r="K105" s="52">
        <v>1.83873425E8</v>
      </c>
      <c r="L105" s="69">
        <v>45814.0</v>
      </c>
      <c r="M105" s="52" t="s">
        <v>5544</v>
      </c>
    </row>
    <row r="106">
      <c r="A106" s="52" t="s">
        <v>5426</v>
      </c>
      <c r="B106" s="52">
        <v>2.0251020035913E13</v>
      </c>
      <c r="C106" s="69">
        <v>45812.0</v>
      </c>
      <c r="D106" s="52" t="s">
        <v>5623</v>
      </c>
      <c r="E106" s="52" t="s">
        <v>380</v>
      </c>
      <c r="F106" s="52" t="s">
        <v>3917</v>
      </c>
      <c r="G106" s="52">
        <v>1.016081819E9</v>
      </c>
      <c r="H106" s="52" t="s">
        <v>3949</v>
      </c>
      <c r="I106" s="52" t="s">
        <v>4703</v>
      </c>
      <c r="J106" s="52" t="s">
        <v>4976</v>
      </c>
      <c r="K106" s="52">
        <v>1.83882725E8</v>
      </c>
      <c r="L106" s="69">
        <v>45814.0</v>
      </c>
      <c r="M106" s="52" t="s">
        <v>5544</v>
      </c>
    </row>
    <row r="107">
      <c r="A107" s="52" t="s">
        <v>5426</v>
      </c>
      <c r="B107" s="52">
        <v>2.0251020035903E13</v>
      </c>
      <c r="C107" s="69">
        <v>45812.0</v>
      </c>
      <c r="D107" s="52" t="s">
        <v>5624</v>
      </c>
      <c r="E107" s="52" t="s">
        <v>1002</v>
      </c>
      <c r="F107" s="52" t="s">
        <v>3917</v>
      </c>
      <c r="G107" s="52">
        <v>1.015440358E9</v>
      </c>
      <c r="H107" s="52" t="s">
        <v>4581</v>
      </c>
      <c r="I107" s="52" t="s">
        <v>4295</v>
      </c>
      <c r="J107" s="52" t="s">
        <v>4976</v>
      </c>
      <c r="K107" s="52">
        <v>1.99928125E8</v>
      </c>
      <c r="L107" s="69">
        <v>45826.0</v>
      </c>
      <c r="M107" s="52" t="s">
        <v>5571</v>
      </c>
    </row>
    <row r="108">
      <c r="A108" s="52" t="s">
        <v>5426</v>
      </c>
      <c r="B108" s="52">
        <v>2.0251020035923E13</v>
      </c>
      <c r="C108" s="69">
        <v>45812.0</v>
      </c>
      <c r="D108" s="52" t="s">
        <v>5625</v>
      </c>
      <c r="E108" s="52" t="s">
        <v>735</v>
      </c>
      <c r="F108" s="52" t="s">
        <v>3917</v>
      </c>
      <c r="G108" s="52">
        <v>1.121891311E9</v>
      </c>
      <c r="H108" s="52" t="s">
        <v>4344</v>
      </c>
      <c r="I108" s="52" t="s">
        <v>4295</v>
      </c>
      <c r="J108" s="52" t="s">
        <v>4976</v>
      </c>
      <c r="K108" s="52">
        <v>1.99928425E8</v>
      </c>
      <c r="L108" s="69">
        <v>45826.0</v>
      </c>
      <c r="M108" s="52" t="s">
        <v>5626</v>
      </c>
    </row>
    <row r="109">
      <c r="A109" s="52" t="s">
        <v>5426</v>
      </c>
      <c r="B109" s="52">
        <v>2.0251020035933E13</v>
      </c>
      <c r="C109" s="69">
        <v>45812.0</v>
      </c>
      <c r="D109" s="52" t="s">
        <v>5627</v>
      </c>
      <c r="E109" s="52" t="s">
        <v>542</v>
      </c>
      <c r="F109" s="52" t="s">
        <v>3917</v>
      </c>
      <c r="G109" s="52">
        <v>1.026299983E9</v>
      </c>
      <c r="H109" s="52" t="s">
        <v>4096</v>
      </c>
      <c r="I109" s="52" t="s">
        <v>4295</v>
      </c>
      <c r="J109" s="52" t="s">
        <v>4976</v>
      </c>
      <c r="K109" s="52">
        <v>1.99928725E8</v>
      </c>
      <c r="L109" s="69">
        <v>45826.0</v>
      </c>
      <c r="M109" s="52" t="s">
        <v>5628</v>
      </c>
    </row>
    <row r="110">
      <c r="A110" s="52" t="s">
        <v>5426</v>
      </c>
      <c r="B110" s="52">
        <v>2.0251140035983E13</v>
      </c>
      <c r="C110" s="69">
        <v>45812.0</v>
      </c>
      <c r="D110" s="52" t="s">
        <v>5629</v>
      </c>
      <c r="E110" s="52" t="s">
        <v>280</v>
      </c>
      <c r="F110" s="52" t="s">
        <v>3944</v>
      </c>
      <c r="G110" s="52">
        <v>202634.0</v>
      </c>
      <c r="H110" s="52" t="s">
        <v>3993</v>
      </c>
      <c r="I110" s="52" t="s">
        <v>400</v>
      </c>
      <c r="J110" s="52" t="s">
        <v>4947</v>
      </c>
      <c r="K110" s="52">
        <v>1.84843325E8</v>
      </c>
      <c r="L110" s="69">
        <v>45814.0</v>
      </c>
      <c r="M110" s="52" t="s">
        <v>5462</v>
      </c>
    </row>
    <row r="111">
      <c r="A111" s="52" t="s">
        <v>5426</v>
      </c>
      <c r="B111" s="52">
        <v>2.0251400035993E13</v>
      </c>
      <c r="C111" s="69">
        <v>45812.0</v>
      </c>
      <c r="D111" s="52" t="s">
        <v>5630</v>
      </c>
      <c r="E111" s="52" t="s">
        <v>276</v>
      </c>
      <c r="F111" s="52" t="s">
        <v>3944</v>
      </c>
      <c r="G111" s="52">
        <v>367422.0</v>
      </c>
      <c r="H111" s="52" t="s">
        <v>3945</v>
      </c>
      <c r="I111" s="52" t="s">
        <v>112</v>
      </c>
      <c r="J111" s="52" t="s">
        <v>4963</v>
      </c>
      <c r="K111" s="52">
        <v>1.84865225E8</v>
      </c>
      <c r="L111" s="69">
        <v>45814.0</v>
      </c>
      <c r="M111" s="52" t="s">
        <v>5631</v>
      </c>
    </row>
    <row r="112">
      <c r="A112" s="52" t="s">
        <v>5426</v>
      </c>
      <c r="B112" s="52">
        <v>2.0251300036003E13</v>
      </c>
      <c r="C112" s="69">
        <v>45812.0</v>
      </c>
      <c r="D112" s="52" t="s">
        <v>5632</v>
      </c>
      <c r="E112" s="52" t="s">
        <v>443</v>
      </c>
      <c r="F112" s="52" t="s">
        <v>3917</v>
      </c>
      <c r="G112" s="52">
        <v>1.2129602E7</v>
      </c>
      <c r="H112" s="52" t="s">
        <v>3997</v>
      </c>
      <c r="I112" s="52" t="s">
        <v>4358</v>
      </c>
      <c r="J112" s="52" t="s">
        <v>134</v>
      </c>
      <c r="K112" s="52">
        <v>1.90491625E8</v>
      </c>
      <c r="L112" s="69">
        <v>45818.0</v>
      </c>
      <c r="M112" s="52" t="s">
        <v>5633</v>
      </c>
    </row>
    <row r="113">
      <c r="A113" s="52" t="s">
        <v>5426</v>
      </c>
      <c r="B113" s="52">
        <v>2.0251140036013E13</v>
      </c>
      <c r="C113" s="69">
        <v>45812.0</v>
      </c>
      <c r="D113" s="52" t="s">
        <v>5634</v>
      </c>
      <c r="E113" s="52" t="s">
        <v>43</v>
      </c>
      <c r="F113" s="52" t="s">
        <v>3917</v>
      </c>
      <c r="G113" s="52">
        <v>3.7279138E7</v>
      </c>
      <c r="H113" s="52" t="s">
        <v>3983</v>
      </c>
      <c r="I113" s="52" t="s">
        <v>400</v>
      </c>
      <c r="J113" s="52" t="s">
        <v>4947</v>
      </c>
      <c r="K113" s="52">
        <v>1.84831825E8</v>
      </c>
      <c r="L113" s="69">
        <v>45814.0</v>
      </c>
      <c r="M113" s="52" t="s">
        <v>5474</v>
      </c>
    </row>
    <row r="114">
      <c r="A114" s="52" t="s">
        <v>5426</v>
      </c>
      <c r="B114" s="52">
        <v>2.0251700036023E13</v>
      </c>
      <c r="C114" s="69">
        <v>45812.0</v>
      </c>
      <c r="D114" s="52" t="s">
        <v>5635</v>
      </c>
      <c r="E114" s="52" t="s">
        <v>148</v>
      </c>
      <c r="F114" s="52" t="s">
        <v>3917</v>
      </c>
      <c r="G114" s="52">
        <v>1.033684312E9</v>
      </c>
      <c r="H114" s="52" t="s">
        <v>4108</v>
      </c>
      <c r="I114" s="52" t="s">
        <v>4378</v>
      </c>
      <c r="J114" s="52" t="s">
        <v>4932</v>
      </c>
      <c r="K114" s="52">
        <v>1.84155125E8</v>
      </c>
      <c r="L114" s="69">
        <v>45814.0</v>
      </c>
      <c r="M114" s="52" t="s">
        <v>5472</v>
      </c>
    </row>
    <row r="115">
      <c r="A115" s="52" t="s">
        <v>5426</v>
      </c>
      <c r="B115" s="52">
        <v>2.0251020036353E13</v>
      </c>
      <c r="C115" s="69">
        <v>45812.0</v>
      </c>
      <c r="D115" s="52" t="s">
        <v>5636</v>
      </c>
      <c r="E115" s="52" t="s">
        <v>2828</v>
      </c>
      <c r="F115" s="52" t="s">
        <v>3917</v>
      </c>
      <c r="G115" s="52">
        <v>5.2382217E7</v>
      </c>
      <c r="H115" s="52" t="s">
        <v>4174</v>
      </c>
      <c r="I115" s="52" t="s">
        <v>4319</v>
      </c>
      <c r="J115" s="52" t="s">
        <v>4976</v>
      </c>
      <c r="K115" s="52">
        <v>1.90464925E8</v>
      </c>
      <c r="L115" s="69">
        <v>45818.0</v>
      </c>
      <c r="M115" s="52" t="s">
        <v>5637</v>
      </c>
    </row>
    <row r="116">
      <c r="A116" s="52" t="s">
        <v>5426</v>
      </c>
      <c r="B116" s="52">
        <v>2.0251400036053E13</v>
      </c>
      <c r="C116" s="69">
        <v>45812.0</v>
      </c>
      <c r="D116" s="52" t="s">
        <v>5638</v>
      </c>
      <c r="E116" s="52" t="s">
        <v>2854</v>
      </c>
      <c r="F116" s="52" t="s">
        <v>3917</v>
      </c>
      <c r="G116" s="52">
        <v>1.019065789E9</v>
      </c>
      <c r="H116" s="52" t="s">
        <v>3979</v>
      </c>
      <c r="I116" s="52" t="s">
        <v>666</v>
      </c>
      <c r="J116" s="52" t="s">
        <v>4963</v>
      </c>
      <c r="K116" s="52">
        <v>1.83970925E8</v>
      </c>
      <c r="L116" s="69">
        <v>45814.0</v>
      </c>
      <c r="M116" s="52" t="s">
        <v>5631</v>
      </c>
    </row>
    <row r="117">
      <c r="A117" s="52" t="s">
        <v>5426</v>
      </c>
      <c r="B117" s="52">
        <v>2.0251900036063E13</v>
      </c>
      <c r="C117" s="69">
        <v>45812.0</v>
      </c>
      <c r="D117" s="52" t="s">
        <v>5639</v>
      </c>
      <c r="E117" s="52" t="s">
        <v>4286</v>
      </c>
      <c r="F117" s="52" t="s">
        <v>3917</v>
      </c>
      <c r="G117" s="52">
        <v>1.030564407E9</v>
      </c>
      <c r="H117" s="52" t="s">
        <v>4287</v>
      </c>
      <c r="I117" s="52" t="s">
        <v>5640</v>
      </c>
      <c r="J117" s="52" t="s">
        <v>4908</v>
      </c>
      <c r="K117" s="52">
        <v>1.83950225E8</v>
      </c>
      <c r="L117" s="69">
        <v>45814.0</v>
      </c>
      <c r="M117" s="52" t="s">
        <v>5484</v>
      </c>
    </row>
    <row r="118">
      <c r="A118" s="52" t="s">
        <v>5426</v>
      </c>
      <c r="B118" s="52">
        <v>2.0251530036083E13</v>
      </c>
      <c r="C118" s="69">
        <v>45812.0</v>
      </c>
      <c r="D118" s="52" t="s">
        <v>5641</v>
      </c>
      <c r="E118" s="52" t="s">
        <v>849</v>
      </c>
      <c r="F118" s="52" t="s">
        <v>3917</v>
      </c>
      <c r="G118" s="52">
        <v>1.033736378E9</v>
      </c>
      <c r="H118" s="52" t="s">
        <v>4215</v>
      </c>
      <c r="I118" s="52" t="s">
        <v>4203</v>
      </c>
      <c r="J118" s="52" t="s">
        <v>4927</v>
      </c>
      <c r="K118" s="52">
        <v>1.84143625E8</v>
      </c>
      <c r="L118" s="69">
        <v>45814.0</v>
      </c>
      <c r="M118" s="52" t="s">
        <v>5479</v>
      </c>
    </row>
    <row r="119">
      <c r="A119" s="52" t="s">
        <v>5426</v>
      </c>
      <c r="B119" s="52">
        <v>2.0251530036093E13</v>
      </c>
      <c r="C119" s="69">
        <v>45812.0</v>
      </c>
      <c r="D119" s="52" t="s">
        <v>5642</v>
      </c>
      <c r="E119" s="52" t="s">
        <v>899</v>
      </c>
      <c r="F119" s="52" t="s">
        <v>3917</v>
      </c>
      <c r="G119" s="52">
        <v>7.9272744E7</v>
      </c>
      <c r="H119" s="52" t="s">
        <v>4552</v>
      </c>
      <c r="I119" s="52" t="s">
        <v>973</v>
      </c>
      <c r="J119" s="52" t="s">
        <v>4927</v>
      </c>
      <c r="K119" s="52">
        <v>1.84133825E8</v>
      </c>
      <c r="L119" s="69">
        <v>45814.0</v>
      </c>
      <c r="M119" s="52" t="s">
        <v>5486</v>
      </c>
    </row>
    <row r="120">
      <c r="A120" s="52" t="s">
        <v>5426</v>
      </c>
      <c r="B120" s="52">
        <v>2.0251610035323E13</v>
      </c>
      <c r="C120" s="69">
        <v>45812.0</v>
      </c>
      <c r="D120" s="52" t="s">
        <v>5643</v>
      </c>
      <c r="E120" s="52" t="s">
        <v>1021</v>
      </c>
      <c r="F120" s="52" t="s">
        <v>3917</v>
      </c>
      <c r="G120" s="52">
        <v>1.03242089E9</v>
      </c>
      <c r="H120" s="52" t="s">
        <v>4400</v>
      </c>
      <c r="I120" s="52" t="s">
        <v>170</v>
      </c>
      <c r="J120" s="52" t="s">
        <v>4938</v>
      </c>
      <c r="K120" s="52">
        <v>1.99924825E8</v>
      </c>
      <c r="L120" s="69">
        <v>45826.0</v>
      </c>
      <c r="M120" s="52" t="s">
        <v>5644</v>
      </c>
    </row>
    <row r="121">
      <c r="A121" s="52" t="s">
        <v>5426</v>
      </c>
      <c r="B121" s="52">
        <v>2.0251610035333E13</v>
      </c>
      <c r="C121" s="69">
        <v>45812.0</v>
      </c>
      <c r="D121" s="52" t="s">
        <v>5645</v>
      </c>
      <c r="E121" s="52" t="s">
        <v>295</v>
      </c>
      <c r="F121" s="52" t="s">
        <v>3917</v>
      </c>
      <c r="G121" s="52">
        <v>1.004754082E9</v>
      </c>
      <c r="H121" s="52" t="s">
        <v>4038</v>
      </c>
      <c r="I121" s="52" t="s">
        <v>170</v>
      </c>
      <c r="J121" s="52" t="s">
        <v>4938</v>
      </c>
      <c r="K121" s="52">
        <v>1.99924925E8</v>
      </c>
      <c r="L121" s="69">
        <v>45826.0</v>
      </c>
      <c r="M121" s="52" t="s">
        <v>5494</v>
      </c>
    </row>
    <row r="122">
      <c r="A122" s="52" t="s">
        <v>5426</v>
      </c>
      <c r="B122" s="52">
        <v>2.0251610035343E13</v>
      </c>
      <c r="C122" s="69">
        <v>45812.0</v>
      </c>
      <c r="D122" s="52" t="s">
        <v>5646</v>
      </c>
      <c r="E122" s="52" t="s">
        <v>4030</v>
      </c>
      <c r="F122" s="52" t="s">
        <v>3917</v>
      </c>
      <c r="G122" s="52">
        <v>1.02235787E9</v>
      </c>
      <c r="H122" s="52" t="s">
        <v>4031</v>
      </c>
      <c r="I122" s="52" t="s">
        <v>170</v>
      </c>
      <c r="J122" s="52" t="s">
        <v>4938</v>
      </c>
      <c r="K122" s="52">
        <v>1.99925225E8</v>
      </c>
      <c r="L122" s="69">
        <v>45826.0</v>
      </c>
      <c r="M122" s="52" t="s">
        <v>5647</v>
      </c>
    </row>
    <row r="123">
      <c r="A123" s="52" t="s">
        <v>5426</v>
      </c>
      <c r="B123" s="52">
        <v>2.0251610035353E13</v>
      </c>
      <c r="C123" s="69">
        <v>45812.0</v>
      </c>
      <c r="D123" s="52" t="s">
        <v>5648</v>
      </c>
      <c r="E123" s="52" t="s">
        <v>166</v>
      </c>
      <c r="F123" s="52" t="s">
        <v>3917</v>
      </c>
      <c r="G123" s="52">
        <v>1.026586964E9</v>
      </c>
      <c r="H123" s="52" t="s">
        <v>4028</v>
      </c>
      <c r="I123" s="52" t="s">
        <v>170</v>
      </c>
      <c r="J123" s="52" t="s">
        <v>4938</v>
      </c>
      <c r="K123" s="52">
        <v>1.99926025E8</v>
      </c>
      <c r="L123" s="69">
        <v>45826.0</v>
      </c>
      <c r="M123" s="52" t="s">
        <v>5583</v>
      </c>
    </row>
    <row r="124">
      <c r="A124" s="52" t="s">
        <v>5426</v>
      </c>
      <c r="B124" s="52">
        <v>2.0251610035363E13</v>
      </c>
      <c r="C124" s="69">
        <v>45812.0</v>
      </c>
      <c r="D124" s="52" t="s">
        <v>5649</v>
      </c>
      <c r="E124" s="52" t="s">
        <v>1080</v>
      </c>
      <c r="F124" s="52" t="s">
        <v>3917</v>
      </c>
      <c r="G124" s="52">
        <v>5.2958449E7</v>
      </c>
      <c r="H124" s="52" t="s">
        <v>4402</v>
      </c>
      <c r="I124" s="52" t="s">
        <v>170</v>
      </c>
      <c r="J124" s="52" t="s">
        <v>4938</v>
      </c>
      <c r="K124" s="52">
        <v>1.99926325E8</v>
      </c>
      <c r="L124" s="69">
        <v>45826.0</v>
      </c>
      <c r="M124" s="52" t="s">
        <v>5472</v>
      </c>
    </row>
    <row r="125">
      <c r="A125" s="52" t="s">
        <v>5426</v>
      </c>
      <c r="B125" s="52">
        <v>2.0251700036163E13</v>
      </c>
      <c r="C125" s="69">
        <v>45812.0</v>
      </c>
      <c r="D125" s="52" t="s">
        <v>5650</v>
      </c>
      <c r="E125" s="52" t="s">
        <v>385</v>
      </c>
      <c r="F125" s="52" t="s">
        <v>3917</v>
      </c>
      <c r="G125" s="52">
        <v>1.018487193E9</v>
      </c>
      <c r="H125" s="52" t="s">
        <v>4135</v>
      </c>
      <c r="I125" s="52" t="s">
        <v>4378</v>
      </c>
      <c r="J125" s="52" t="s">
        <v>4932</v>
      </c>
      <c r="K125" s="52">
        <v>1.83886625E8</v>
      </c>
      <c r="L125" s="69">
        <v>45814.0</v>
      </c>
      <c r="M125" s="52" t="s">
        <v>5544</v>
      </c>
    </row>
    <row r="126">
      <c r="A126" s="52" t="s">
        <v>5426</v>
      </c>
      <c r="B126" s="52">
        <v>2.0251900036173E13</v>
      </c>
      <c r="C126" s="69">
        <v>45812.0</v>
      </c>
      <c r="D126" s="52" t="s">
        <v>5651</v>
      </c>
      <c r="E126" s="52" t="s">
        <v>5652</v>
      </c>
      <c r="F126" s="52" t="s">
        <v>3917</v>
      </c>
      <c r="G126" s="52">
        <v>1.032379284E9</v>
      </c>
      <c r="H126" s="52" t="s">
        <v>4602</v>
      </c>
      <c r="I126" s="52" t="s">
        <v>433</v>
      </c>
      <c r="J126" s="52" t="s">
        <v>4908</v>
      </c>
      <c r="K126" s="52">
        <v>1.83893825E8</v>
      </c>
      <c r="L126" s="69">
        <v>45814.0</v>
      </c>
      <c r="M126" s="52" t="s">
        <v>5653</v>
      </c>
    </row>
    <row r="127">
      <c r="A127" s="52" t="s">
        <v>5426</v>
      </c>
      <c r="B127" s="52">
        <v>2.0251400036183E13</v>
      </c>
      <c r="C127" s="69">
        <v>45812.0</v>
      </c>
      <c r="D127" s="52" t="s">
        <v>5654</v>
      </c>
      <c r="E127" s="52" t="s">
        <v>1125</v>
      </c>
      <c r="F127" s="52" t="s">
        <v>3917</v>
      </c>
      <c r="G127" s="52">
        <v>1.019003737E9</v>
      </c>
      <c r="H127" s="52" t="s">
        <v>4217</v>
      </c>
      <c r="I127" s="52" t="s">
        <v>666</v>
      </c>
      <c r="J127" s="52" t="s">
        <v>4963</v>
      </c>
      <c r="K127" s="52">
        <v>1.83809525E8</v>
      </c>
      <c r="L127" s="69">
        <v>45814.0</v>
      </c>
      <c r="M127" s="52" t="s">
        <v>5631</v>
      </c>
    </row>
    <row r="128">
      <c r="A128" s="52" t="s">
        <v>5426</v>
      </c>
      <c r="B128" s="52">
        <v>2.0251530036243E13</v>
      </c>
      <c r="C128" s="69">
        <v>45812.0</v>
      </c>
      <c r="D128" s="52" t="s">
        <v>5655</v>
      </c>
      <c r="E128" s="52" t="s">
        <v>870</v>
      </c>
      <c r="F128" s="52" t="s">
        <v>3917</v>
      </c>
      <c r="G128" s="52">
        <v>1.019038567E9</v>
      </c>
      <c r="H128" s="52" t="s">
        <v>4331</v>
      </c>
      <c r="I128" s="52" t="s">
        <v>352</v>
      </c>
      <c r="J128" s="52" t="s">
        <v>4927</v>
      </c>
      <c r="K128" s="52">
        <v>1.84167825E8</v>
      </c>
      <c r="L128" s="69">
        <v>45814.0</v>
      </c>
      <c r="M128" s="52" t="s">
        <v>5656</v>
      </c>
    </row>
    <row r="129">
      <c r="A129" s="52" t="s">
        <v>5426</v>
      </c>
      <c r="B129" s="52">
        <v>2.0251900036273E13</v>
      </c>
      <c r="C129" s="69">
        <v>45812.0</v>
      </c>
      <c r="D129" s="52" t="s">
        <v>5657</v>
      </c>
      <c r="E129" s="52" t="s">
        <v>1139</v>
      </c>
      <c r="F129" s="52" t="s">
        <v>3917</v>
      </c>
      <c r="G129" s="52">
        <v>8.0111613E7</v>
      </c>
      <c r="H129" s="52" t="s">
        <v>4538</v>
      </c>
      <c r="I129" s="52" t="s">
        <v>433</v>
      </c>
      <c r="J129" s="52" t="s">
        <v>4908</v>
      </c>
      <c r="K129" s="52">
        <v>1.83898125E8</v>
      </c>
      <c r="L129" s="69">
        <v>45814.0</v>
      </c>
      <c r="M129" s="52" t="s">
        <v>5462</v>
      </c>
    </row>
    <row r="130">
      <c r="A130" s="52" t="s">
        <v>5426</v>
      </c>
      <c r="B130" s="52">
        <v>2.0251610035943E13</v>
      </c>
      <c r="C130" s="69">
        <v>45812.0</v>
      </c>
      <c r="D130" s="52" t="s">
        <v>5658</v>
      </c>
      <c r="E130" s="52" t="s">
        <v>1351</v>
      </c>
      <c r="F130" s="52" t="s">
        <v>3917</v>
      </c>
      <c r="G130" s="52">
        <v>1.193447899E9</v>
      </c>
      <c r="H130" s="52" t="s">
        <v>4026</v>
      </c>
      <c r="I130" s="52" t="s">
        <v>217</v>
      </c>
      <c r="J130" s="52" t="s">
        <v>4938</v>
      </c>
      <c r="K130" s="52">
        <v>1.99926425E8</v>
      </c>
      <c r="L130" s="69">
        <v>45826.0</v>
      </c>
      <c r="M130" s="52" t="s">
        <v>5443</v>
      </c>
    </row>
    <row r="131">
      <c r="A131" s="52" t="s">
        <v>5426</v>
      </c>
      <c r="B131" s="52">
        <v>2.0251140036213E13</v>
      </c>
      <c r="C131" s="69">
        <v>45812.0</v>
      </c>
      <c r="D131" s="52" t="s">
        <v>5659</v>
      </c>
      <c r="E131" s="52" t="s">
        <v>31</v>
      </c>
      <c r="F131" s="52" t="s">
        <v>3917</v>
      </c>
      <c r="G131" s="52">
        <v>1.075248422E9</v>
      </c>
      <c r="H131" s="52" t="s">
        <v>4043</v>
      </c>
      <c r="I131" s="52" t="s">
        <v>40</v>
      </c>
      <c r="J131" s="52" t="s">
        <v>4914</v>
      </c>
      <c r="K131" s="52">
        <v>1.93574625E8</v>
      </c>
      <c r="L131" s="69">
        <v>45820.0</v>
      </c>
      <c r="M131" s="52" t="s">
        <v>5660</v>
      </c>
    </row>
    <row r="132">
      <c r="A132" s="52" t="s">
        <v>5426</v>
      </c>
      <c r="B132" s="52">
        <v>2.0251610035953E13</v>
      </c>
      <c r="C132" s="69">
        <v>45812.0</v>
      </c>
      <c r="D132" s="52" t="s">
        <v>5661</v>
      </c>
      <c r="E132" s="52" t="s">
        <v>1088</v>
      </c>
      <c r="F132" s="52" t="s">
        <v>3917</v>
      </c>
      <c r="G132" s="52">
        <v>1.01850558E9</v>
      </c>
      <c r="H132" s="52" t="s">
        <v>4422</v>
      </c>
      <c r="I132" s="52" t="s">
        <v>217</v>
      </c>
      <c r="J132" s="52" t="s">
        <v>4938</v>
      </c>
      <c r="K132" s="52">
        <v>1.99926625E8</v>
      </c>
      <c r="L132" s="69">
        <v>45826.0</v>
      </c>
      <c r="M132" s="52" t="s">
        <v>5610</v>
      </c>
    </row>
    <row r="133">
      <c r="A133" s="52" t="s">
        <v>5426</v>
      </c>
      <c r="B133" s="52">
        <v>2.0251610035963E13</v>
      </c>
      <c r="C133" s="69">
        <v>45812.0</v>
      </c>
      <c r="D133" s="52" t="s">
        <v>5662</v>
      </c>
      <c r="E133" s="52" t="s">
        <v>677</v>
      </c>
      <c r="F133" s="52" t="s">
        <v>3917</v>
      </c>
      <c r="G133" s="52">
        <v>1.098822094E9</v>
      </c>
      <c r="H133" s="52" t="s">
        <v>4420</v>
      </c>
      <c r="I133" s="52" t="s">
        <v>217</v>
      </c>
      <c r="J133" s="52" t="s">
        <v>4938</v>
      </c>
      <c r="K133" s="52">
        <v>1.99926725E8</v>
      </c>
      <c r="L133" s="69">
        <v>45826.0</v>
      </c>
      <c r="M133" s="52" t="s">
        <v>5494</v>
      </c>
    </row>
    <row r="134">
      <c r="A134" s="52" t="s">
        <v>5426</v>
      </c>
      <c r="B134" s="52">
        <v>2.0251610035973E13</v>
      </c>
      <c r="C134" s="69">
        <v>45812.0</v>
      </c>
      <c r="D134" s="52" t="s">
        <v>5663</v>
      </c>
      <c r="E134" s="52" t="s">
        <v>1045</v>
      </c>
      <c r="F134" s="52" t="s">
        <v>3917</v>
      </c>
      <c r="G134" s="52">
        <v>1.007387735E9</v>
      </c>
      <c r="H134" s="52" t="s">
        <v>4407</v>
      </c>
      <c r="I134" s="52" t="s">
        <v>217</v>
      </c>
      <c r="J134" s="52" t="s">
        <v>4938</v>
      </c>
      <c r="K134" s="52">
        <v>1.99926825E8</v>
      </c>
      <c r="L134" s="69">
        <v>45826.0</v>
      </c>
      <c r="M134" s="52" t="s">
        <v>5494</v>
      </c>
    </row>
    <row r="135">
      <c r="A135" s="52" t="s">
        <v>5426</v>
      </c>
      <c r="B135" s="52">
        <v>2.0251610036043E13</v>
      </c>
      <c r="C135" s="69">
        <v>45812.0</v>
      </c>
      <c r="D135" s="52" t="s">
        <v>5664</v>
      </c>
      <c r="E135" s="52" t="s">
        <v>159</v>
      </c>
      <c r="F135" s="52" t="s">
        <v>3917</v>
      </c>
      <c r="G135" s="52">
        <v>1.018456896E9</v>
      </c>
      <c r="H135" s="52" t="s">
        <v>4050</v>
      </c>
      <c r="I135" s="52" t="s">
        <v>4360</v>
      </c>
      <c r="J135" s="52" t="s">
        <v>4938</v>
      </c>
      <c r="K135" s="52" t="s">
        <v>5665</v>
      </c>
      <c r="L135" s="69">
        <v>45826.0</v>
      </c>
      <c r="M135" s="52" t="s">
        <v>5666</v>
      </c>
    </row>
    <row r="136">
      <c r="A136" s="52" t="s">
        <v>5426</v>
      </c>
      <c r="B136" s="52">
        <v>2.0251110036253E13</v>
      </c>
      <c r="C136" s="69">
        <v>45812.0</v>
      </c>
      <c r="D136" s="52" t="s">
        <v>5667</v>
      </c>
      <c r="E136" s="52" t="s">
        <v>750</v>
      </c>
      <c r="F136" s="52" t="s">
        <v>3917</v>
      </c>
      <c r="G136" s="52">
        <v>1.110503697E9</v>
      </c>
      <c r="H136" s="52" t="s">
        <v>4298</v>
      </c>
      <c r="I136" s="52" t="s">
        <v>2596</v>
      </c>
      <c r="J136" s="52" t="s">
        <v>4914</v>
      </c>
      <c r="K136" s="52">
        <v>1.99927725E8</v>
      </c>
      <c r="L136" s="69">
        <v>45826.0</v>
      </c>
      <c r="M136" s="52" t="s">
        <v>5668</v>
      </c>
    </row>
    <row r="137">
      <c r="A137" s="52" t="s">
        <v>5426</v>
      </c>
      <c r="B137" s="52">
        <v>2.0251530036323E13</v>
      </c>
      <c r="C137" s="69">
        <v>45812.0</v>
      </c>
      <c r="D137" s="52" t="s">
        <v>5669</v>
      </c>
      <c r="E137" s="52" t="s">
        <v>843</v>
      </c>
      <c r="F137" s="52" t="s">
        <v>3917</v>
      </c>
      <c r="G137" s="52">
        <v>1.088300611E9</v>
      </c>
      <c r="H137" s="52" t="s">
        <v>4432</v>
      </c>
      <c r="I137" s="52" t="s">
        <v>4433</v>
      </c>
      <c r="J137" s="52" t="s">
        <v>4927</v>
      </c>
      <c r="K137" s="52">
        <v>1.84876925E8</v>
      </c>
      <c r="L137" s="69">
        <v>45814.0</v>
      </c>
      <c r="M137" s="52" t="s">
        <v>5486</v>
      </c>
    </row>
    <row r="138">
      <c r="A138" s="52" t="s">
        <v>5426</v>
      </c>
      <c r="B138" s="52">
        <v>2.0251700036343E13</v>
      </c>
      <c r="C138" s="69">
        <v>45812.0</v>
      </c>
      <c r="D138" s="52" t="s">
        <v>5670</v>
      </c>
      <c r="E138" s="52" t="s">
        <v>4556</v>
      </c>
      <c r="F138" s="52" t="s">
        <v>3917</v>
      </c>
      <c r="G138" s="52">
        <v>1.1236019E7</v>
      </c>
      <c r="H138" s="52" t="s">
        <v>4557</v>
      </c>
      <c r="I138" s="52" t="s">
        <v>4378</v>
      </c>
      <c r="J138" s="52" t="s">
        <v>4932</v>
      </c>
      <c r="K138" s="52">
        <v>1.84147125E8</v>
      </c>
      <c r="L138" s="69">
        <v>45814.0</v>
      </c>
      <c r="M138" s="52" t="s">
        <v>5671</v>
      </c>
    </row>
    <row r="139">
      <c r="A139" s="52" t="s">
        <v>5426</v>
      </c>
      <c r="B139" s="52">
        <v>2.0251020036333E13</v>
      </c>
      <c r="C139" s="69">
        <v>45812.0</v>
      </c>
      <c r="D139" s="52" t="s">
        <v>5672</v>
      </c>
      <c r="E139" s="52" t="s">
        <v>4347</v>
      </c>
      <c r="F139" s="52" t="s">
        <v>3917</v>
      </c>
      <c r="G139" s="52">
        <v>1.110461441E9</v>
      </c>
      <c r="H139" s="52" t="s">
        <v>4348</v>
      </c>
      <c r="I139" s="52" t="s">
        <v>4319</v>
      </c>
      <c r="J139" s="52" t="s">
        <v>4976</v>
      </c>
      <c r="K139" s="52">
        <v>1.84139225E8</v>
      </c>
      <c r="L139" s="69">
        <v>45814.0</v>
      </c>
      <c r="M139" s="52" t="s">
        <v>5673</v>
      </c>
    </row>
    <row r="140">
      <c r="A140" s="52" t="s">
        <v>5426</v>
      </c>
      <c r="B140" s="52">
        <v>2.0251610036283E13</v>
      </c>
      <c r="C140" s="69">
        <v>45812.0</v>
      </c>
      <c r="D140" s="52" t="s">
        <v>5674</v>
      </c>
      <c r="E140" s="52" t="s">
        <v>411</v>
      </c>
      <c r="F140" s="52" t="s">
        <v>3917</v>
      </c>
      <c r="G140" s="52">
        <v>1.020804167E9</v>
      </c>
      <c r="H140" s="52" t="s">
        <v>4034</v>
      </c>
      <c r="I140" s="52" t="s">
        <v>4426</v>
      </c>
      <c r="J140" s="52" t="s">
        <v>4938</v>
      </c>
      <c r="K140" s="52">
        <v>1.90453525E8</v>
      </c>
      <c r="L140" s="69">
        <v>45818.0</v>
      </c>
      <c r="M140" s="52" t="s">
        <v>5675</v>
      </c>
    </row>
    <row r="141">
      <c r="A141" s="52" t="s">
        <v>5426</v>
      </c>
      <c r="B141" s="52">
        <v>2.0251610036313E13</v>
      </c>
      <c r="C141" s="69">
        <v>45812.0</v>
      </c>
      <c r="D141" s="52" t="s">
        <v>5676</v>
      </c>
      <c r="E141" s="52" t="s">
        <v>875</v>
      </c>
      <c r="F141" s="52" t="s">
        <v>3917</v>
      </c>
      <c r="G141" s="52">
        <v>1.233693111E9</v>
      </c>
      <c r="H141" s="52" t="s">
        <v>4428</v>
      </c>
      <c r="I141" s="52" t="s">
        <v>4426</v>
      </c>
      <c r="J141" s="52" t="s">
        <v>4938</v>
      </c>
      <c r="K141" s="52">
        <v>1.84836525E8</v>
      </c>
      <c r="L141" s="69">
        <v>45814.0</v>
      </c>
      <c r="M141" s="52" t="s">
        <v>5460</v>
      </c>
    </row>
    <row r="142">
      <c r="A142" s="52" t="s">
        <v>5426</v>
      </c>
      <c r="B142" s="52">
        <v>2.0251610036303E13</v>
      </c>
      <c r="C142" s="69">
        <v>45812.0</v>
      </c>
      <c r="D142" s="52" t="s">
        <v>5677</v>
      </c>
      <c r="E142" s="52" t="s">
        <v>1076</v>
      </c>
      <c r="F142" s="52" t="s">
        <v>3917</v>
      </c>
      <c r="G142" s="52">
        <v>1.088340956E9</v>
      </c>
      <c r="H142" s="52" t="s">
        <v>4435</v>
      </c>
      <c r="I142" s="52" t="s">
        <v>4426</v>
      </c>
      <c r="J142" s="52" t="s">
        <v>4938</v>
      </c>
      <c r="K142" s="52">
        <v>1.99927025E8</v>
      </c>
      <c r="L142" s="69">
        <v>45826.0</v>
      </c>
      <c r="M142" s="52" t="s">
        <v>5678</v>
      </c>
    </row>
    <row r="143">
      <c r="A143" s="52" t="s">
        <v>5426</v>
      </c>
      <c r="B143" s="52">
        <v>2.0251610036293E13</v>
      </c>
      <c r="C143" s="69">
        <v>45812.0</v>
      </c>
      <c r="D143" s="52" t="s">
        <v>5679</v>
      </c>
      <c r="E143" s="52" t="s">
        <v>285</v>
      </c>
      <c r="F143" s="52" t="s">
        <v>3917</v>
      </c>
      <c r="G143" s="52">
        <v>1.019089253E9</v>
      </c>
      <c r="H143" s="52" t="s">
        <v>4023</v>
      </c>
      <c r="I143" s="52" t="s">
        <v>4426</v>
      </c>
      <c r="J143" s="52" t="s">
        <v>4938</v>
      </c>
      <c r="K143" s="52">
        <v>1.99927225E8</v>
      </c>
      <c r="L143" s="69">
        <v>45826.0</v>
      </c>
      <c r="M143" s="52" t="s">
        <v>5568</v>
      </c>
    </row>
    <row r="144">
      <c r="A144" s="52" t="s">
        <v>5426</v>
      </c>
      <c r="B144" s="52">
        <v>2.0251500036373E13</v>
      </c>
      <c r="C144" s="69">
        <v>45812.0</v>
      </c>
      <c r="D144" s="52" t="s">
        <v>5680</v>
      </c>
      <c r="E144" s="52" t="s">
        <v>247</v>
      </c>
      <c r="F144" s="52" t="s">
        <v>3917</v>
      </c>
      <c r="G144" s="52">
        <v>1.006772235E9</v>
      </c>
      <c r="H144" s="52" t="s">
        <v>4079</v>
      </c>
      <c r="I144" s="52" t="s">
        <v>4443</v>
      </c>
      <c r="J144" s="52" t="s">
        <v>4927</v>
      </c>
      <c r="K144" s="52">
        <v>1.84136125E8</v>
      </c>
      <c r="L144" s="69">
        <v>45814.0</v>
      </c>
      <c r="M144" s="52" t="s">
        <v>5681</v>
      </c>
    </row>
    <row r="145">
      <c r="A145" s="52" t="s">
        <v>5426</v>
      </c>
      <c r="B145" s="52">
        <v>2.0251500036363E13</v>
      </c>
      <c r="C145" s="69">
        <v>45812.0</v>
      </c>
      <c r="D145" s="52" t="s">
        <v>5682</v>
      </c>
      <c r="E145" s="52" t="s">
        <v>4445</v>
      </c>
      <c r="F145" s="52" t="s">
        <v>3917</v>
      </c>
      <c r="G145" s="52">
        <v>1.055272277E9</v>
      </c>
      <c r="H145" s="52" t="s">
        <v>4446</v>
      </c>
      <c r="I145" s="52" t="s">
        <v>4443</v>
      </c>
      <c r="J145" s="52" t="s">
        <v>4927</v>
      </c>
      <c r="K145" s="52">
        <v>1.84158325E8</v>
      </c>
      <c r="L145" s="69">
        <v>45814.0</v>
      </c>
      <c r="M145" s="52" t="s">
        <v>5683</v>
      </c>
    </row>
    <row r="146">
      <c r="A146" s="52" t="s">
        <v>5426</v>
      </c>
      <c r="B146" s="52">
        <v>2.0251300036423E13</v>
      </c>
      <c r="C146" s="69">
        <v>45812.0</v>
      </c>
      <c r="D146" s="52" t="s">
        <v>5684</v>
      </c>
      <c r="E146" s="52" t="s">
        <v>460</v>
      </c>
      <c r="F146" s="52" t="s">
        <v>3917</v>
      </c>
      <c r="G146" s="52">
        <v>9.323712E7</v>
      </c>
      <c r="H146" s="52" t="s">
        <v>4073</v>
      </c>
      <c r="I146" s="52" t="s">
        <v>4358</v>
      </c>
      <c r="J146" s="52" t="s">
        <v>134</v>
      </c>
      <c r="K146" s="52">
        <v>1.84166625E8</v>
      </c>
      <c r="L146" s="69">
        <v>45814.0</v>
      </c>
      <c r="M146" s="52" t="s">
        <v>5453</v>
      </c>
    </row>
    <row r="147">
      <c r="A147" s="52" t="s">
        <v>5426</v>
      </c>
      <c r="B147" s="52">
        <v>2.0251000035643E13</v>
      </c>
      <c r="C147" s="69">
        <v>45813.0</v>
      </c>
      <c r="D147" s="52" t="s">
        <v>5685</v>
      </c>
      <c r="E147" s="52" t="s">
        <v>1185</v>
      </c>
      <c r="F147" s="52" t="s">
        <v>3917</v>
      </c>
      <c r="G147" s="52">
        <v>5.5249794E7</v>
      </c>
      <c r="H147" s="52" t="s">
        <v>4827</v>
      </c>
      <c r="I147" s="52" t="s">
        <v>2663</v>
      </c>
      <c r="J147" s="52" t="s">
        <v>4947</v>
      </c>
      <c r="K147" s="52" t="s">
        <v>5686</v>
      </c>
      <c r="L147" s="69">
        <v>45818.0</v>
      </c>
      <c r="M147" s="52" t="s">
        <v>5687</v>
      </c>
    </row>
    <row r="148">
      <c r="A148" s="52" t="s">
        <v>5426</v>
      </c>
      <c r="B148" s="52">
        <v>2.0251000035673E13</v>
      </c>
      <c r="C148" s="69">
        <v>45813.0</v>
      </c>
      <c r="D148" s="52" t="s">
        <v>5688</v>
      </c>
      <c r="E148" s="52" t="s">
        <v>1100</v>
      </c>
      <c r="F148" s="52" t="s">
        <v>3917</v>
      </c>
      <c r="G148" s="52">
        <v>2.5221017E7</v>
      </c>
      <c r="H148" s="52" t="s">
        <v>4595</v>
      </c>
      <c r="I148" s="52" t="s">
        <v>2663</v>
      </c>
      <c r="J148" s="52" t="s">
        <v>4947</v>
      </c>
      <c r="K148" s="52" t="s">
        <v>5689</v>
      </c>
      <c r="L148" s="69">
        <v>45814.0</v>
      </c>
      <c r="M148" s="52" t="s">
        <v>5690</v>
      </c>
    </row>
    <row r="149">
      <c r="A149" s="52" t="s">
        <v>5426</v>
      </c>
      <c r="B149" s="52">
        <v>2.0251000035683E13</v>
      </c>
      <c r="C149" s="69">
        <v>45813.0</v>
      </c>
      <c r="D149" s="52" t="s">
        <v>5691</v>
      </c>
      <c r="E149" s="52" t="s">
        <v>1197</v>
      </c>
      <c r="F149" s="52" t="s">
        <v>3917</v>
      </c>
      <c r="G149" s="52">
        <v>4.5546877E7</v>
      </c>
      <c r="H149" s="52" t="s">
        <v>4871</v>
      </c>
      <c r="I149" s="52" t="s">
        <v>2663</v>
      </c>
      <c r="J149" s="52" t="s">
        <v>4947</v>
      </c>
      <c r="K149" s="52">
        <v>1.84840325E8</v>
      </c>
      <c r="L149" s="69">
        <v>45814.0</v>
      </c>
      <c r="M149" s="52" t="s">
        <v>5496</v>
      </c>
    </row>
    <row r="150">
      <c r="A150" s="52" t="s">
        <v>5426</v>
      </c>
      <c r="B150" s="52">
        <v>2.0251610036223E13</v>
      </c>
      <c r="C150" s="69">
        <v>45813.0</v>
      </c>
      <c r="D150" s="52" t="s">
        <v>5692</v>
      </c>
      <c r="E150" s="52" t="s">
        <v>309</v>
      </c>
      <c r="F150" s="52" t="s">
        <v>3917</v>
      </c>
      <c r="G150" s="52">
        <v>1.08829271E9</v>
      </c>
      <c r="H150" s="52" t="s">
        <v>4077</v>
      </c>
      <c r="I150" s="52" t="s">
        <v>874</v>
      </c>
      <c r="J150" s="52" t="s">
        <v>4938</v>
      </c>
      <c r="K150" s="52">
        <v>1.83919225E8</v>
      </c>
      <c r="L150" s="69">
        <v>45814.0</v>
      </c>
      <c r="M150" s="52" t="s">
        <v>5693</v>
      </c>
    </row>
    <row r="151">
      <c r="A151" s="52" t="s">
        <v>5426</v>
      </c>
      <c r="B151" s="52">
        <v>2.0251300036443E13</v>
      </c>
      <c r="C151" s="69">
        <v>45813.0</v>
      </c>
      <c r="D151" s="52" t="s">
        <v>5694</v>
      </c>
      <c r="E151" s="52" t="s">
        <v>333</v>
      </c>
      <c r="F151" s="52" t="s">
        <v>3917</v>
      </c>
      <c r="G151" s="52">
        <v>8.0027001E7</v>
      </c>
      <c r="H151" s="52" t="s">
        <v>3985</v>
      </c>
      <c r="I151" s="52" t="s">
        <v>4392</v>
      </c>
      <c r="J151" s="52" t="s">
        <v>134</v>
      </c>
      <c r="K151" s="52">
        <v>1.83911425E8</v>
      </c>
      <c r="L151" s="69">
        <v>45814.0</v>
      </c>
      <c r="M151" s="52" t="s">
        <v>5462</v>
      </c>
    </row>
    <row r="152">
      <c r="A152" s="52" t="s">
        <v>5426</v>
      </c>
      <c r="B152" s="52">
        <v>2.0251000036473E13</v>
      </c>
      <c r="C152" s="69">
        <v>45813.0</v>
      </c>
      <c r="D152" s="52" t="s">
        <v>5695</v>
      </c>
      <c r="E152" s="52" t="s">
        <v>1084</v>
      </c>
      <c r="F152" s="52" t="s">
        <v>3917</v>
      </c>
      <c r="G152" s="52">
        <v>1.049646618E9</v>
      </c>
      <c r="H152" s="52" t="s">
        <v>4528</v>
      </c>
      <c r="I152" s="52" t="s">
        <v>2663</v>
      </c>
      <c r="J152" s="52" t="s">
        <v>4947</v>
      </c>
      <c r="K152" s="52">
        <v>1.84179425E8</v>
      </c>
      <c r="L152" s="69">
        <v>45814.0</v>
      </c>
      <c r="M152" s="52" t="s">
        <v>5696</v>
      </c>
    </row>
    <row r="153">
      <c r="A153" s="52" t="s">
        <v>5426</v>
      </c>
      <c r="B153" s="52">
        <v>2.0251900036503E13</v>
      </c>
      <c r="C153" s="69">
        <v>45813.0</v>
      </c>
      <c r="D153" s="52" t="s">
        <v>5697</v>
      </c>
      <c r="E153" s="52" t="s">
        <v>826</v>
      </c>
      <c r="F153" s="52" t="s">
        <v>3917</v>
      </c>
      <c r="G153" s="52">
        <v>1.098826619E9</v>
      </c>
      <c r="H153" s="52" t="s">
        <v>4342</v>
      </c>
      <c r="I153" s="52" t="s">
        <v>779</v>
      </c>
      <c r="J153" s="52" t="s">
        <v>4908</v>
      </c>
      <c r="K153" s="52">
        <v>1.83924825E8</v>
      </c>
      <c r="L153" s="69">
        <v>45814.0</v>
      </c>
      <c r="M153" s="52" t="s">
        <v>5464</v>
      </c>
    </row>
    <row r="154">
      <c r="A154" s="52" t="s">
        <v>5426</v>
      </c>
      <c r="B154" s="52">
        <v>2.0251520036513E13</v>
      </c>
      <c r="C154" s="69">
        <v>45813.0</v>
      </c>
      <c r="D154" s="52" t="s">
        <v>5698</v>
      </c>
      <c r="E154" s="52" t="s">
        <v>668</v>
      </c>
      <c r="F154" s="52" t="s">
        <v>3917</v>
      </c>
      <c r="G154" s="52">
        <v>1.032463587E9</v>
      </c>
      <c r="H154" s="52" t="s">
        <v>4314</v>
      </c>
      <c r="I154" s="52" t="s">
        <v>4315</v>
      </c>
      <c r="J154" s="52" t="s">
        <v>4927</v>
      </c>
      <c r="K154" s="52">
        <v>1.83930725E8</v>
      </c>
      <c r="L154" s="69">
        <v>45814.0</v>
      </c>
      <c r="M154" s="52" t="s">
        <v>5699</v>
      </c>
    </row>
    <row r="155">
      <c r="A155" s="52" t="s">
        <v>5426</v>
      </c>
      <c r="B155" s="52">
        <v>2.0251610036233E13</v>
      </c>
      <c r="C155" s="69">
        <v>45813.0</v>
      </c>
      <c r="D155" s="52" t="s">
        <v>5700</v>
      </c>
      <c r="E155" s="52" t="s">
        <v>770</v>
      </c>
      <c r="F155" s="52" t="s">
        <v>3917</v>
      </c>
      <c r="G155" s="52">
        <v>1.15245016E9</v>
      </c>
      <c r="H155" s="52" t="s">
        <v>4524</v>
      </c>
      <c r="I155" s="52" t="s">
        <v>874</v>
      </c>
      <c r="J155" s="52" t="s">
        <v>4938</v>
      </c>
      <c r="K155" s="52">
        <v>1.99927425E8</v>
      </c>
      <c r="L155" s="69">
        <v>45826.0</v>
      </c>
      <c r="M155" s="52" t="s">
        <v>5583</v>
      </c>
    </row>
    <row r="156">
      <c r="A156" s="52" t="s">
        <v>5426</v>
      </c>
      <c r="B156" s="52">
        <v>2.0251000036453E13</v>
      </c>
      <c r="C156" s="69">
        <v>45813.0</v>
      </c>
      <c r="D156" s="52" t="s">
        <v>5701</v>
      </c>
      <c r="E156" s="52" t="s">
        <v>1303</v>
      </c>
      <c r="F156" s="52" t="s">
        <v>3917</v>
      </c>
      <c r="G156" s="52">
        <v>1.12841675E9</v>
      </c>
      <c r="H156" s="52" t="s">
        <v>5106</v>
      </c>
      <c r="I156" s="52" t="s">
        <v>2663</v>
      </c>
      <c r="J156" s="52" t="s">
        <v>4947</v>
      </c>
      <c r="K156" s="52">
        <v>1.90538225E8</v>
      </c>
      <c r="L156" s="69">
        <v>45818.0</v>
      </c>
      <c r="M156" s="52" t="s">
        <v>5702</v>
      </c>
    </row>
    <row r="157">
      <c r="A157" s="52" t="s">
        <v>5426</v>
      </c>
      <c r="B157" s="52">
        <v>2.0251000036463E13</v>
      </c>
      <c r="C157" s="69">
        <v>45813.0</v>
      </c>
      <c r="D157" s="52" t="s">
        <v>5703</v>
      </c>
      <c r="E157" s="52" t="s">
        <v>2836</v>
      </c>
      <c r="F157" s="52" t="s">
        <v>3917</v>
      </c>
      <c r="G157" s="52">
        <v>1.01428721E9</v>
      </c>
      <c r="H157" s="52" t="s">
        <v>4140</v>
      </c>
      <c r="I157" s="52" t="s">
        <v>657</v>
      </c>
      <c r="J157" s="52" t="s">
        <v>4947</v>
      </c>
      <c r="K157" s="52">
        <v>1.99938725E8</v>
      </c>
      <c r="L157" s="69">
        <v>45826.0</v>
      </c>
      <c r="M157" s="52" t="s">
        <v>5539</v>
      </c>
    </row>
    <row r="158">
      <c r="A158" s="52" t="s">
        <v>5426</v>
      </c>
      <c r="B158" s="52">
        <v>2.0251110036553E13</v>
      </c>
      <c r="C158" s="69">
        <v>45813.0</v>
      </c>
      <c r="D158" s="52" t="s">
        <v>5704</v>
      </c>
      <c r="E158" s="52" t="s">
        <v>2598</v>
      </c>
      <c r="F158" s="52" t="s">
        <v>4127</v>
      </c>
      <c r="G158" s="52">
        <v>9.01244985E8</v>
      </c>
      <c r="H158" s="52" t="s">
        <v>4170</v>
      </c>
      <c r="I158" s="52" t="s">
        <v>2596</v>
      </c>
      <c r="J158" s="52" t="s">
        <v>4914</v>
      </c>
      <c r="K158" s="52">
        <v>1.95952225E8</v>
      </c>
      <c r="L158" s="69">
        <v>45821.0</v>
      </c>
      <c r="M158" s="52" t="s">
        <v>5705</v>
      </c>
    </row>
    <row r="159">
      <c r="A159" s="52" t="s">
        <v>5426</v>
      </c>
      <c r="B159" s="52">
        <v>2.0251020036563E13</v>
      </c>
      <c r="C159" s="69">
        <v>45813.0</v>
      </c>
      <c r="D159" s="52" t="s">
        <v>5706</v>
      </c>
      <c r="E159" s="52" t="s">
        <v>1017</v>
      </c>
      <c r="F159" s="52" t="s">
        <v>3917</v>
      </c>
      <c r="G159" s="52">
        <v>1.01023574E9</v>
      </c>
      <c r="H159" s="52" t="s">
        <v>4491</v>
      </c>
      <c r="I159" s="52" t="s">
        <v>4319</v>
      </c>
      <c r="J159" s="52" t="s">
        <v>4976</v>
      </c>
      <c r="K159" s="52">
        <v>1.88082425E8</v>
      </c>
      <c r="L159" s="69">
        <v>45817.0</v>
      </c>
      <c r="M159" s="52" t="s">
        <v>5707</v>
      </c>
    </row>
    <row r="160">
      <c r="A160" s="52" t="s">
        <v>5426</v>
      </c>
      <c r="B160" s="52">
        <v>2.0251400036583E13</v>
      </c>
      <c r="C160" s="69">
        <v>45813.0</v>
      </c>
      <c r="D160" s="52" t="s">
        <v>5708</v>
      </c>
      <c r="E160" s="52" t="s">
        <v>1407</v>
      </c>
      <c r="F160" s="52" t="s">
        <v>3917</v>
      </c>
      <c r="G160" s="52">
        <v>1.073519307E9</v>
      </c>
      <c r="H160" s="52" t="s">
        <v>4260</v>
      </c>
      <c r="I160" s="52" t="s">
        <v>112</v>
      </c>
      <c r="J160" s="52" t="s">
        <v>4963</v>
      </c>
      <c r="K160" s="52">
        <v>1.91779825E8</v>
      </c>
      <c r="L160" s="69">
        <v>45819.0</v>
      </c>
      <c r="M160" s="52" t="s">
        <v>5709</v>
      </c>
    </row>
    <row r="161">
      <c r="A161" s="52" t="s">
        <v>5426</v>
      </c>
      <c r="B161" s="52">
        <v>2.0251510036623E13</v>
      </c>
      <c r="C161" s="69">
        <v>45813.0</v>
      </c>
      <c r="D161" s="52" t="s">
        <v>5710</v>
      </c>
      <c r="E161" s="52" t="s">
        <v>4280</v>
      </c>
      <c r="F161" s="52" t="s">
        <v>3917</v>
      </c>
      <c r="G161" s="52">
        <v>1.030634155E9</v>
      </c>
      <c r="H161" s="52" t="s">
        <v>4281</v>
      </c>
      <c r="I161" s="52" t="s">
        <v>4275</v>
      </c>
      <c r="J161" s="52" t="s">
        <v>4927</v>
      </c>
      <c r="K161" s="52">
        <v>1.94392225E8</v>
      </c>
      <c r="L161" s="69">
        <v>45820.0</v>
      </c>
      <c r="M161" s="52" t="s">
        <v>5699</v>
      </c>
    </row>
    <row r="162">
      <c r="A162" s="52" t="s">
        <v>5426</v>
      </c>
      <c r="B162" s="52">
        <v>2.0251510036613E13</v>
      </c>
      <c r="C162" s="69">
        <v>45813.0</v>
      </c>
      <c r="D162" s="52" t="s">
        <v>5711</v>
      </c>
      <c r="E162" s="52" t="s">
        <v>865</v>
      </c>
      <c r="F162" s="52" t="s">
        <v>3917</v>
      </c>
      <c r="G162" s="52">
        <v>8.085303E7</v>
      </c>
      <c r="H162" s="52" t="s">
        <v>4274</v>
      </c>
      <c r="I162" s="52" t="s">
        <v>4275</v>
      </c>
      <c r="J162" s="52" t="s">
        <v>4927</v>
      </c>
      <c r="K162" s="52">
        <v>1.94380225E8</v>
      </c>
      <c r="L162" s="69">
        <v>45820.0</v>
      </c>
      <c r="M162" s="52" t="s">
        <v>5699</v>
      </c>
    </row>
    <row r="163">
      <c r="A163" s="52" t="s">
        <v>5426</v>
      </c>
      <c r="B163" s="52">
        <v>2.0251500036633E13</v>
      </c>
      <c r="C163" s="69">
        <v>45813.0</v>
      </c>
      <c r="D163" s="52" t="s">
        <v>5712</v>
      </c>
      <c r="E163" s="52" t="s">
        <v>416</v>
      </c>
      <c r="F163" s="52" t="s">
        <v>3917</v>
      </c>
      <c r="G163" s="52">
        <v>1.05382899E9</v>
      </c>
      <c r="H163" s="52" t="s">
        <v>3947</v>
      </c>
      <c r="I163" s="52" t="s">
        <v>421</v>
      </c>
      <c r="J163" s="52" t="s">
        <v>4927</v>
      </c>
      <c r="K163" s="52" t="s">
        <v>5713</v>
      </c>
      <c r="L163" s="69">
        <v>45818.0</v>
      </c>
      <c r="M163" s="52" t="s">
        <v>5714</v>
      </c>
    </row>
    <row r="164">
      <c r="A164" s="52" t="s">
        <v>5426</v>
      </c>
      <c r="B164" s="52">
        <v>2.0251500036653E13</v>
      </c>
      <c r="C164" s="69">
        <v>45813.0</v>
      </c>
      <c r="D164" s="52" t="s">
        <v>5715</v>
      </c>
      <c r="E164" s="52" t="s">
        <v>602</v>
      </c>
      <c r="F164" s="52" t="s">
        <v>3917</v>
      </c>
      <c r="G164" s="52">
        <v>1.032461718E9</v>
      </c>
      <c r="H164" s="52" t="s">
        <v>4353</v>
      </c>
      <c r="I164" s="52" t="s">
        <v>5219</v>
      </c>
      <c r="J164" s="52" t="s">
        <v>4927</v>
      </c>
      <c r="K164" s="52">
        <v>1.90432625E8</v>
      </c>
      <c r="L164" s="69">
        <v>45818.0</v>
      </c>
      <c r="M164" s="52" t="s">
        <v>5486</v>
      </c>
    </row>
    <row r="165">
      <c r="A165" s="52" t="s">
        <v>5426</v>
      </c>
      <c r="B165" s="52">
        <v>2.0251000036663E13</v>
      </c>
      <c r="C165" s="69">
        <v>45813.0</v>
      </c>
      <c r="D165" s="52" t="s">
        <v>5716</v>
      </c>
      <c r="E165" s="52" t="s">
        <v>1190</v>
      </c>
      <c r="F165" s="52" t="s">
        <v>3917</v>
      </c>
      <c r="G165" s="52">
        <v>1.013658948E9</v>
      </c>
      <c r="H165" s="52" t="s">
        <v>4887</v>
      </c>
      <c r="I165" s="52" t="s">
        <v>99</v>
      </c>
      <c r="J165" s="52" t="s">
        <v>4947</v>
      </c>
      <c r="K165" s="52">
        <v>1.90441325E8</v>
      </c>
      <c r="L165" s="69">
        <v>45818.0</v>
      </c>
      <c r="M165" s="52" t="s">
        <v>5717</v>
      </c>
    </row>
    <row r="166">
      <c r="A166" s="52" t="s">
        <v>5426</v>
      </c>
      <c r="B166" s="52">
        <v>2.0251000036683E13</v>
      </c>
      <c r="C166" s="69">
        <v>45813.0</v>
      </c>
      <c r="D166" s="52" t="s">
        <v>5718</v>
      </c>
      <c r="E166" s="52" t="s">
        <v>94</v>
      </c>
      <c r="F166" s="52" t="s">
        <v>3917</v>
      </c>
      <c r="G166" s="52">
        <v>1.085276539E9</v>
      </c>
      <c r="H166" s="52" t="s">
        <v>4118</v>
      </c>
      <c r="I166" s="52" t="s">
        <v>99</v>
      </c>
      <c r="J166" s="52" t="s">
        <v>4947</v>
      </c>
      <c r="K166" s="52" t="s">
        <v>5719</v>
      </c>
      <c r="L166" s="69">
        <v>45814.0</v>
      </c>
      <c r="M166" s="52" t="s">
        <v>5720</v>
      </c>
    </row>
    <row r="167">
      <c r="A167" s="52" t="s">
        <v>5426</v>
      </c>
      <c r="B167" s="52">
        <v>2.0251000036673E13</v>
      </c>
      <c r="C167" s="69">
        <v>45813.0</v>
      </c>
      <c r="D167" s="52" t="s">
        <v>5721</v>
      </c>
      <c r="E167" s="52" t="s">
        <v>790</v>
      </c>
      <c r="F167" s="52" t="s">
        <v>3917</v>
      </c>
      <c r="G167" s="52">
        <v>1.000288699E9</v>
      </c>
      <c r="H167" s="52" t="s">
        <v>4500</v>
      </c>
      <c r="I167" s="52" t="s">
        <v>99</v>
      </c>
      <c r="J167" s="52" t="s">
        <v>4947</v>
      </c>
      <c r="K167" s="52">
        <v>1.83936525E8</v>
      </c>
      <c r="L167" s="69">
        <v>45814.0</v>
      </c>
      <c r="M167" s="52" t="s">
        <v>5494</v>
      </c>
    </row>
    <row r="168">
      <c r="A168" s="52" t="s">
        <v>5426</v>
      </c>
      <c r="B168" s="52">
        <v>2.0251900036693E13</v>
      </c>
      <c r="C168" s="69">
        <v>45813.0</v>
      </c>
      <c r="D168" s="52" t="s">
        <v>5722</v>
      </c>
      <c r="E168" s="52" t="s">
        <v>918</v>
      </c>
      <c r="F168" s="52" t="s">
        <v>3917</v>
      </c>
      <c r="G168" s="52">
        <v>1.077149572E9</v>
      </c>
      <c r="H168" s="52" t="s">
        <v>4585</v>
      </c>
      <c r="I168" s="52" t="s">
        <v>433</v>
      </c>
      <c r="J168" s="52" t="s">
        <v>4908</v>
      </c>
      <c r="K168" s="52">
        <v>1.88081825E8</v>
      </c>
      <c r="L168" s="69">
        <v>45817.0</v>
      </c>
      <c r="M168" s="52" t="s">
        <v>5448</v>
      </c>
    </row>
    <row r="169">
      <c r="A169" s="52" t="s">
        <v>5426</v>
      </c>
      <c r="B169" s="52">
        <v>2.0251400036703E13</v>
      </c>
      <c r="C169" s="69">
        <v>45813.0</v>
      </c>
      <c r="D169" s="52" t="s">
        <v>5723</v>
      </c>
      <c r="E169" s="52" t="s">
        <v>299</v>
      </c>
      <c r="F169" s="52" t="s">
        <v>3917</v>
      </c>
      <c r="G169" s="52">
        <v>1.052408723E9</v>
      </c>
      <c r="H169" s="52" t="s">
        <v>3942</v>
      </c>
      <c r="I169" s="52" t="s">
        <v>112</v>
      </c>
      <c r="J169" s="52" t="s">
        <v>4963</v>
      </c>
      <c r="K169" s="52">
        <v>1.84894425E8</v>
      </c>
      <c r="L169" s="69">
        <v>45814.0</v>
      </c>
      <c r="M169" s="52" t="s">
        <v>5724</v>
      </c>
    </row>
    <row r="170">
      <c r="A170" s="52" t="s">
        <v>5426</v>
      </c>
      <c r="B170" s="52">
        <v>2.0251500036713E13</v>
      </c>
      <c r="C170" s="69">
        <v>45813.0</v>
      </c>
      <c r="D170" s="52" t="s">
        <v>5725</v>
      </c>
      <c r="E170" s="52" t="s">
        <v>4414</v>
      </c>
      <c r="F170" s="52" t="s">
        <v>3917</v>
      </c>
      <c r="G170" s="52">
        <v>1.128424536E9</v>
      </c>
      <c r="H170" s="52" t="s">
        <v>4415</v>
      </c>
      <c r="I170" s="52" t="s">
        <v>717</v>
      </c>
      <c r="J170" s="52" t="s">
        <v>4927</v>
      </c>
      <c r="K170" s="52">
        <v>1.84137925E8</v>
      </c>
      <c r="L170" s="69">
        <v>45814.0</v>
      </c>
      <c r="M170" s="52" t="s">
        <v>5486</v>
      </c>
    </row>
    <row r="171">
      <c r="A171" s="52" t="s">
        <v>5426</v>
      </c>
      <c r="B171" s="52">
        <v>2.0251500036733E13</v>
      </c>
      <c r="C171" s="69">
        <v>45813.0</v>
      </c>
      <c r="D171" s="52" t="s">
        <v>5726</v>
      </c>
      <c r="E171" s="52" t="s">
        <v>4410</v>
      </c>
      <c r="F171" s="52" t="s">
        <v>3917</v>
      </c>
      <c r="G171" s="52">
        <v>1.052394569E9</v>
      </c>
      <c r="H171" s="52" t="s">
        <v>4411</v>
      </c>
      <c r="I171" s="52" t="s">
        <v>4412</v>
      </c>
      <c r="J171" s="52" t="s">
        <v>4927</v>
      </c>
      <c r="K171" s="52">
        <v>1.88116625E8</v>
      </c>
      <c r="L171" s="69">
        <v>45817.0</v>
      </c>
      <c r="M171" s="52" t="s">
        <v>5486</v>
      </c>
    </row>
    <row r="172">
      <c r="A172" s="52" t="s">
        <v>5426</v>
      </c>
      <c r="B172" s="52">
        <v>2.0251700036753E13</v>
      </c>
      <c r="C172" s="69">
        <v>45813.0</v>
      </c>
      <c r="D172" s="52" t="s">
        <v>5727</v>
      </c>
      <c r="E172" s="52" t="s">
        <v>2737</v>
      </c>
      <c r="F172" s="52" t="s">
        <v>3917</v>
      </c>
      <c r="G172" s="52">
        <v>8.0724862E7</v>
      </c>
      <c r="H172" s="52" t="s">
        <v>4045</v>
      </c>
      <c r="I172" s="52" t="s">
        <v>588</v>
      </c>
      <c r="J172" s="52" t="s">
        <v>4932</v>
      </c>
      <c r="K172" s="52">
        <v>1.88117825E8</v>
      </c>
      <c r="L172" s="69">
        <v>45817.0</v>
      </c>
      <c r="M172" s="52" t="s">
        <v>5544</v>
      </c>
    </row>
    <row r="173">
      <c r="A173" s="52" t="s">
        <v>5426</v>
      </c>
      <c r="B173" s="52">
        <v>2.0251020036773E13</v>
      </c>
      <c r="C173" s="69">
        <v>45813.0</v>
      </c>
      <c r="D173" s="52" t="s">
        <v>5728</v>
      </c>
      <c r="E173" s="52" t="s">
        <v>2821</v>
      </c>
      <c r="F173" s="52" t="s">
        <v>3917</v>
      </c>
      <c r="G173" s="52">
        <v>1.04962724E9</v>
      </c>
      <c r="H173" s="52" t="s">
        <v>4176</v>
      </c>
      <c r="I173" s="52" t="s">
        <v>4319</v>
      </c>
      <c r="J173" s="52" t="s">
        <v>4976</v>
      </c>
      <c r="K173" s="52">
        <v>1.90397325E8</v>
      </c>
      <c r="L173" s="69">
        <v>45818.0</v>
      </c>
      <c r="M173" s="52" t="s">
        <v>5729</v>
      </c>
    </row>
    <row r="174">
      <c r="A174" s="52" t="s">
        <v>5426</v>
      </c>
      <c r="B174" s="52">
        <v>2.0251300036783E13</v>
      </c>
      <c r="C174" s="69">
        <v>45813.0</v>
      </c>
      <c r="D174" s="52" t="s">
        <v>5730</v>
      </c>
      <c r="E174" s="52" t="s">
        <v>2860</v>
      </c>
      <c r="F174" s="52" t="s">
        <v>3917</v>
      </c>
      <c r="G174" s="52">
        <v>7.9972544E7</v>
      </c>
      <c r="H174" s="52" t="s">
        <v>4148</v>
      </c>
      <c r="I174" s="52" t="s">
        <v>438</v>
      </c>
      <c r="J174" s="52" t="s">
        <v>134</v>
      </c>
      <c r="K174" s="52">
        <v>1.90422625E8</v>
      </c>
      <c r="L174" s="69">
        <v>45818.0</v>
      </c>
      <c r="M174" s="52" t="s">
        <v>5731</v>
      </c>
    </row>
    <row r="175">
      <c r="A175" s="52" t="s">
        <v>5426</v>
      </c>
      <c r="B175" s="52">
        <v>2.0251610036523E13</v>
      </c>
      <c r="C175" s="69">
        <v>45813.0</v>
      </c>
      <c r="D175" s="52" t="s">
        <v>5732</v>
      </c>
      <c r="E175" s="52" t="s">
        <v>1009</v>
      </c>
      <c r="F175" s="52" t="s">
        <v>3917</v>
      </c>
      <c r="G175" s="52">
        <v>1.152204081E9</v>
      </c>
      <c r="H175" s="52" t="s">
        <v>4535</v>
      </c>
      <c r="I175" s="52" t="s">
        <v>874</v>
      </c>
      <c r="J175" s="52" t="s">
        <v>4938</v>
      </c>
      <c r="K175" s="52">
        <v>1.94407125E8</v>
      </c>
      <c r="L175" s="69">
        <v>45820.0</v>
      </c>
      <c r="M175" s="52" t="s">
        <v>5565</v>
      </c>
    </row>
    <row r="176">
      <c r="A176" s="52" t="s">
        <v>5426</v>
      </c>
      <c r="B176" s="52">
        <v>2.0251110036603E13</v>
      </c>
      <c r="C176" s="69">
        <v>45813.0</v>
      </c>
      <c r="D176" s="52" t="s">
        <v>5733</v>
      </c>
      <c r="E176" s="52" t="s">
        <v>515</v>
      </c>
      <c r="F176" s="52" t="s">
        <v>3917</v>
      </c>
      <c r="G176" s="52">
        <v>5.2045839E7</v>
      </c>
      <c r="H176" s="52" t="s">
        <v>3969</v>
      </c>
      <c r="I176" s="52" t="s">
        <v>146</v>
      </c>
      <c r="J176" s="52" t="s">
        <v>4914</v>
      </c>
      <c r="K176" s="52">
        <v>1.88110225E8</v>
      </c>
      <c r="L176" s="69">
        <v>45817.0</v>
      </c>
      <c r="M176" s="52" t="s">
        <v>5734</v>
      </c>
    </row>
    <row r="177">
      <c r="A177" s="52" t="s">
        <v>5426</v>
      </c>
      <c r="B177" s="52">
        <v>2.0251700036793E13</v>
      </c>
      <c r="C177" s="69">
        <v>45813.0</v>
      </c>
      <c r="D177" s="52" t="s">
        <v>5735</v>
      </c>
      <c r="E177" s="52" t="s">
        <v>629</v>
      </c>
      <c r="F177" s="52" t="s">
        <v>3917</v>
      </c>
      <c r="G177" s="52">
        <v>5.3000155E7</v>
      </c>
      <c r="H177" s="52" t="s">
        <v>4303</v>
      </c>
      <c r="I177" s="52" t="s">
        <v>744</v>
      </c>
      <c r="J177" s="52" t="s">
        <v>4932</v>
      </c>
      <c r="K177" s="52" t="s">
        <v>5736</v>
      </c>
      <c r="L177" s="69">
        <v>45818.0</v>
      </c>
      <c r="M177" s="52" t="s">
        <v>5737</v>
      </c>
    </row>
    <row r="178">
      <c r="A178" s="52" t="s">
        <v>5426</v>
      </c>
      <c r="B178" s="52">
        <v>2.0251000036843E13</v>
      </c>
      <c r="C178" s="69">
        <v>45813.0</v>
      </c>
      <c r="D178" s="52" t="s">
        <v>4634</v>
      </c>
      <c r="E178" s="52" t="s">
        <v>469</v>
      </c>
      <c r="F178" s="52" t="s">
        <v>3917</v>
      </c>
      <c r="G178" s="52">
        <v>3.9683177E7</v>
      </c>
      <c r="H178" s="52" t="s">
        <v>4000</v>
      </c>
      <c r="I178" s="52" t="s">
        <v>474</v>
      </c>
      <c r="J178" s="52" t="s">
        <v>4947</v>
      </c>
      <c r="K178" s="52">
        <v>1.95959825E8</v>
      </c>
      <c r="L178" s="69">
        <v>45821.0</v>
      </c>
      <c r="M178" s="52" t="s">
        <v>5738</v>
      </c>
    </row>
    <row r="179">
      <c r="A179" s="52" t="s">
        <v>5426</v>
      </c>
      <c r="B179" s="52">
        <v>2.0251300036853E13</v>
      </c>
      <c r="C179" s="69">
        <v>45813.0</v>
      </c>
      <c r="D179" s="52" t="s">
        <v>5739</v>
      </c>
      <c r="E179" s="52" t="s">
        <v>2872</v>
      </c>
      <c r="F179" s="52" t="s">
        <v>3917</v>
      </c>
      <c r="G179" s="52">
        <v>1.024554244E9</v>
      </c>
      <c r="H179" s="52" t="s">
        <v>4085</v>
      </c>
      <c r="I179" s="52" t="s">
        <v>438</v>
      </c>
      <c r="J179" s="52" t="s">
        <v>134</v>
      </c>
      <c r="K179" s="52">
        <v>1.88119025E8</v>
      </c>
      <c r="L179" s="69">
        <v>45817.0</v>
      </c>
      <c r="M179" s="52" t="s">
        <v>5740</v>
      </c>
    </row>
    <row r="180">
      <c r="A180" s="52" t="s">
        <v>5426</v>
      </c>
      <c r="B180" s="52">
        <v>2.0251300036883E13</v>
      </c>
      <c r="C180" s="69">
        <v>45813.0</v>
      </c>
      <c r="D180" s="52" t="s">
        <v>5741</v>
      </c>
      <c r="E180" s="52" t="s">
        <v>501</v>
      </c>
      <c r="F180" s="52" t="s">
        <v>3917</v>
      </c>
      <c r="G180" s="52">
        <v>1.070954996E9</v>
      </c>
      <c r="H180" s="52" t="s">
        <v>4091</v>
      </c>
      <c r="I180" s="52" t="s">
        <v>438</v>
      </c>
      <c r="J180" s="52" t="s">
        <v>134</v>
      </c>
      <c r="K180" s="52">
        <v>1.90393725E8</v>
      </c>
      <c r="L180" s="69">
        <v>45818.0</v>
      </c>
      <c r="M180" s="52" t="s">
        <v>5594</v>
      </c>
    </row>
    <row r="181">
      <c r="A181" s="52" t="s">
        <v>5426</v>
      </c>
      <c r="B181" s="52">
        <v>2.0251530086081E13</v>
      </c>
      <c r="C181" s="69">
        <v>45813.0</v>
      </c>
      <c r="D181" s="52" t="s">
        <v>5742</v>
      </c>
      <c r="E181" s="52" t="s">
        <v>890</v>
      </c>
      <c r="F181" s="52" t="s">
        <v>3917</v>
      </c>
      <c r="G181" s="52">
        <v>1.010198057E9</v>
      </c>
      <c r="H181" s="52" t="s">
        <v>4376</v>
      </c>
      <c r="I181" s="52" t="s">
        <v>973</v>
      </c>
      <c r="J181" s="52" t="s">
        <v>4927</v>
      </c>
      <c r="K181" s="52">
        <v>1.88098925E8</v>
      </c>
      <c r="L181" s="69">
        <v>45817.0</v>
      </c>
      <c r="M181" s="52" t="s">
        <v>5476</v>
      </c>
    </row>
    <row r="182">
      <c r="A182" s="52" t="s">
        <v>5426</v>
      </c>
      <c r="B182" s="52">
        <v>2.0251020036593E13</v>
      </c>
      <c r="C182" s="69">
        <v>45813.0</v>
      </c>
      <c r="D182" s="52" t="s">
        <v>5743</v>
      </c>
      <c r="E182" s="52" t="s">
        <v>253</v>
      </c>
      <c r="F182" s="52" t="s">
        <v>3917</v>
      </c>
      <c r="G182" s="52">
        <v>1.018492802E9</v>
      </c>
      <c r="H182" s="52" t="s">
        <v>3938</v>
      </c>
      <c r="I182" s="52" t="s">
        <v>1232</v>
      </c>
      <c r="J182" s="52" t="s">
        <v>4976</v>
      </c>
      <c r="K182" s="52">
        <v>1.84818925E8</v>
      </c>
      <c r="L182" s="69">
        <v>45814.0</v>
      </c>
      <c r="M182" s="52" t="s">
        <v>5744</v>
      </c>
    </row>
    <row r="183">
      <c r="A183" s="52" t="s">
        <v>5426</v>
      </c>
      <c r="B183" s="52">
        <v>2.0251020036723E13</v>
      </c>
      <c r="C183" s="69">
        <v>45813.0</v>
      </c>
      <c r="D183" s="52" t="s">
        <v>5745</v>
      </c>
      <c r="E183" s="52" t="s">
        <v>3788</v>
      </c>
      <c r="F183" s="52" t="s">
        <v>3917</v>
      </c>
      <c r="G183" s="52">
        <v>5.3054857E7</v>
      </c>
      <c r="H183" s="52" t="s">
        <v>5285</v>
      </c>
      <c r="I183" s="52" t="s">
        <v>1232</v>
      </c>
      <c r="J183" s="52" t="s">
        <v>4976</v>
      </c>
      <c r="K183" s="52">
        <v>1.84829725E8</v>
      </c>
      <c r="L183" s="69">
        <v>45814.0</v>
      </c>
      <c r="M183" s="52" t="s">
        <v>5453</v>
      </c>
    </row>
    <row r="184">
      <c r="A184" s="52" t="s">
        <v>5426</v>
      </c>
      <c r="B184" s="52">
        <v>2.0251020036743E13</v>
      </c>
      <c r="C184" s="69">
        <v>45813.0</v>
      </c>
      <c r="D184" s="52" t="s">
        <v>5746</v>
      </c>
      <c r="E184" s="52" t="s">
        <v>358</v>
      </c>
      <c r="F184" s="52" t="s">
        <v>3917</v>
      </c>
      <c r="G184" s="52">
        <v>1.098310315E9</v>
      </c>
      <c r="H184" s="52" t="s">
        <v>3936</v>
      </c>
      <c r="I184" s="52" t="s">
        <v>1232</v>
      </c>
      <c r="J184" s="52" t="s">
        <v>4976</v>
      </c>
      <c r="K184" s="52">
        <v>1.84839125E8</v>
      </c>
      <c r="L184" s="69">
        <v>45814.0</v>
      </c>
      <c r="M184" s="52" t="s">
        <v>5673</v>
      </c>
    </row>
    <row r="185">
      <c r="A185" s="52" t="s">
        <v>5426</v>
      </c>
      <c r="B185" s="52">
        <v>2.0251020036813E13</v>
      </c>
      <c r="C185" s="69">
        <v>45813.0</v>
      </c>
      <c r="D185" s="52" t="s">
        <v>5747</v>
      </c>
      <c r="E185" s="52" t="s">
        <v>1328</v>
      </c>
      <c r="F185" s="52" t="s">
        <v>3917</v>
      </c>
      <c r="G185" s="52">
        <v>1.125639792E9</v>
      </c>
      <c r="H185" s="52" t="s">
        <v>5302</v>
      </c>
      <c r="I185" s="52" t="s">
        <v>1232</v>
      </c>
      <c r="J185" s="52" t="s">
        <v>4976</v>
      </c>
      <c r="K185" s="52">
        <v>1.84838325E8</v>
      </c>
      <c r="L185" s="69">
        <v>45814.0</v>
      </c>
      <c r="M185" s="52" t="s">
        <v>5491</v>
      </c>
    </row>
    <row r="186">
      <c r="A186" s="52" t="s">
        <v>5426</v>
      </c>
      <c r="B186" s="52">
        <v>2.0251020036913E13</v>
      </c>
      <c r="C186" s="69">
        <v>45813.0</v>
      </c>
      <c r="D186" s="52" t="s">
        <v>5748</v>
      </c>
      <c r="E186" s="52" t="s">
        <v>4385</v>
      </c>
      <c r="F186" s="52" t="s">
        <v>3917</v>
      </c>
      <c r="G186" s="52">
        <v>1.024476225E9</v>
      </c>
      <c r="H186" s="52" t="s">
        <v>4386</v>
      </c>
      <c r="I186" s="52" t="s">
        <v>4295</v>
      </c>
      <c r="J186" s="52" t="s">
        <v>4976</v>
      </c>
      <c r="K186" s="52">
        <v>1.99929125E8</v>
      </c>
      <c r="L186" s="69">
        <v>45826.0</v>
      </c>
      <c r="M186" s="52" t="s">
        <v>5749</v>
      </c>
    </row>
    <row r="187">
      <c r="A187" s="52" t="s">
        <v>5426</v>
      </c>
      <c r="B187" s="52">
        <v>2.0251500036933E13</v>
      </c>
      <c r="C187" s="69">
        <v>45813.0</v>
      </c>
      <c r="D187" s="52" t="s">
        <v>5750</v>
      </c>
      <c r="E187" s="52" t="s">
        <v>4362</v>
      </c>
      <c r="F187" s="52" t="s">
        <v>3917</v>
      </c>
      <c r="G187" s="52">
        <v>1.070963356E9</v>
      </c>
      <c r="H187" s="52" t="s">
        <v>4363</v>
      </c>
      <c r="I187" s="52" t="s">
        <v>912</v>
      </c>
      <c r="J187" s="52" t="s">
        <v>4927</v>
      </c>
      <c r="K187" s="52">
        <v>1.90398925E8</v>
      </c>
      <c r="L187" s="69">
        <v>45818.0</v>
      </c>
      <c r="M187" s="52" t="s">
        <v>5486</v>
      </c>
    </row>
    <row r="188">
      <c r="A188" s="52" t="s">
        <v>5426</v>
      </c>
      <c r="B188" s="52">
        <v>2.0251000036963E13</v>
      </c>
      <c r="C188" s="69">
        <v>45813.0</v>
      </c>
      <c r="D188" s="52" t="s">
        <v>5751</v>
      </c>
      <c r="E188" s="52" t="s">
        <v>1049</v>
      </c>
      <c r="F188" s="52" t="s">
        <v>3917</v>
      </c>
      <c r="G188" s="52">
        <v>5.2802056E7</v>
      </c>
      <c r="H188" s="52" t="s">
        <v>4526</v>
      </c>
      <c r="I188" s="52" t="s">
        <v>2663</v>
      </c>
      <c r="J188" s="52" t="s">
        <v>4947</v>
      </c>
      <c r="K188" s="52" t="s">
        <v>5752</v>
      </c>
      <c r="L188" s="69">
        <v>45818.0</v>
      </c>
      <c r="M188" s="52" t="s">
        <v>5753</v>
      </c>
    </row>
    <row r="189">
      <c r="A189" s="52" t="s">
        <v>5426</v>
      </c>
      <c r="B189" s="52">
        <v>2.0251500036973E13</v>
      </c>
      <c r="C189" s="69">
        <v>45813.0</v>
      </c>
      <c r="D189" s="52" t="s">
        <v>5754</v>
      </c>
      <c r="E189" s="52" t="s">
        <v>882</v>
      </c>
      <c r="F189" s="52" t="s">
        <v>3917</v>
      </c>
      <c r="G189" s="52">
        <v>1.001185909E9</v>
      </c>
      <c r="H189" s="52" t="s">
        <v>4368</v>
      </c>
      <c r="I189" s="52" t="s">
        <v>966</v>
      </c>
      <c r="J189" s="52" t="s">
        <v>4927</v>
      </c>
      <c r="K189" s="52">
        <v>1.90479925E8</v>
      </c>
      <c r="L189" s="69">
        <v>45818.0</v>
      </c>
      <c r="M189" s="52" t="s">
        <v>5755</v>
      </c>
    </row>
    <row r="190">
      <c r="A190" s="52" t="s">
        <v>5426</v>
      </c>
      <c r="B190" s="52">
        <v>2.0251110036983E13</v>
      </c>
      <c r="C190" s="69">
        <v>45813.0</v>
      </c>
      <c r="D190" s="52" t="s">
        <v>5756</v>
      </c>
      <c r="E190" s="52" t="s">
        <v>264</v>
      </c>
      <c r="F190" s="52" t="s">
        <v>4127</v>
      </c>
      <c r="G190" s="52">
        <v>9.00196555E8</v>
      </c>
      <c r="H190" s="52" t="s">
        <v>4128</v>
      </c>
      <c r="I190" s="52" t="s">
        <v>2596</v>
      </c>
      <c r="J190" s="52" t="s">
        <v>4914</v>
      </c>
      <c r="K190" s="52">
        <v>1.92336425E8</v>
      </c>
      <c r="L190" s="69">
        <v>45819.0</v>
      </c>
      <c r="M190" s="52" t="s">
        <v>5757</v>
      </c>
    </row>
    <row r="191">
      <c r="A191" s="52" t="s">
        <v>5426</v>
      </c>
      <c r="B191" s="52">
        <v>2.0251000036993E13</v>
      </c>
      <c r="C191" s="69">
        <v>45813.0</v>
      </c>
      <c r="D191" s="52" t="s">
        <v>5758</v>
      </c>
      <c r="E191" s="52" t="s">
        <v>1263</v>
      </c>
      <c r="F191" s="52" t="s">
        <v>3917</v>
      </c>
      <c r="G191" s="52">
        <v>7.9950225E7</v>
      </c>
      <c r="H191" s="52" t="s">
        <v>5759</v>
      </c>
      <c r="I191" s="52" t="s">
        <v>2663</v>
      </c>
      <c r="J191" s="52" t="s">
        <v>4947</v>
      </c>
      <c r="K191" s="52">
        <v>1.94372725E8</v>
      </c>
      <c r="L191" s="69">
        <v>45820.0</v>
      </c>
      <c r="M191" s="52" t="s">
        <v>5760</v>
      </c>
    </row>
    <row r="192">
      <c r="A192" s="52" t="s">
        <v>5426</v>
      </c>
      <c r="B192" s="52">
        <v>2.0251100037013E13</v>
      </c>
      <c r="C192" s="69">
        <v>45813.0</v>
      </c>
      <c r="D192" s="52" t="s">
        <v>5761</v>
      </c>
      <c r="E192" s="52" t="s">
        <v>395</v>
      </c>
      <c r="F192" s="52" t="s">
        <v>3917</v>
      </c>
      <c r="G192" s="52">
        <v>2.6428474E7</v>
      </c>
      <c r="H192" s="52" t="s">
        <v>4579</v>
      </c>
      <c r="I192" s="52" t="s">
        <v>400</v>
      </c>
      <c r="J192" s="52" t="s">
        <v>4947</v>
      </c>
      <c r="K192" s="52">
        <v>1.90497425E8</v>
      </c>
      <c r="L192" s="69">
        <v>45818.0</v>
      </c>
      <c r="M192" s="52" t="s">
        <v>5762</v>
      </c>
    </row>
    <row r="193">
      <c r="A193" s="52" t="s">
        <v>5426</v>
      </c>
      <c r="B193" s="52">
        <v>2.0251020036903E13</v>
      </c>
      <c r="C193" s="69">
        <v>45813.0</v>
      </c>
      <c r="D193" s="52" t="s">
        <v>5763</v>
      </c>
      <c r="E193" s="52" t="s">
        <v>5228</v>
      </c>
      <c r="F193" s="52" t="s">
        <v>3917</v>
      </c>
      <c r="G193" s="52">
        <v>3.6283216E7</v>
      </c>
      <c r="H193" s="52" t="s">
        <v>5229</v>
      </c>
      <c r="I193" s="52" t="s">
        <v>257</v>
      </c>
      <c r="J193" s="52" t="s">
        <v>4976</v>
      </c>
      <c r="K193" s="52">
        <v>1.90509125E8</v>
      </c>
      <c r="L193" s="69">
        <v>45818.0</v>
      </c>
      <c r="M193" s="52" t="s">
        <v>5456</v>
      </c>
    </row>
    <row r="194">
      <c r="A194" s="52" t="s">
        <v>5426</v>
      </c>
      <c r="B194" s="52">
        <v>2.0251140037023E13</v>
      </c>
      <c r="C194" s="69">
        <v>45813.0</v>
      </c>
      <c r="D194" s="52" t="s">
        <v>5764</v>
      </c>
      <c r="E194" s="52" t="s">
        <v>49</v>
      </c>
      <c r="F194" s="52" t="s">
        <v>3917</v>
      </c>
      <c r="G194" s="52">
        <v>1.053821048E9</v>
      </c>
      <c r="H194" s="52" t="s">
        <v>4081</v>
      </c>
      <c r="I194" s="52" t="s">
        <v>4209</v>
      </c>
      <c r="J194" s="52" t="s">
        <v>4976</v>
      </c>
      <c r="K194" s="52">
        <v>1.90529425E8</v>
      </c>
      <c r="L194" s="69">
        <v>45818.0</v>
      </c>
      <c r="M194" s="52" t="s">
        <v>5765</v>
      </c>
    </row>
    <row r="195">
      <c r="A195" s="52" t="s">
        <v>5426</v>
      </c>
      <c r="B195" s="52">
        <v>2.0251500037053E13</v>
      </c>
      <c r="C195" s="69">
        <v>45814.0</v>
      </c>
      <c r="D195" s="52" t="s">
        <v>5766</v>
      </c>
      <c r="E195" s="52" t="s">
        <v>814</v>
      </c>
      <c r="F195" s="52" t="s">
        <v>3917</v>
      </c>
      <c r="G195" s="52">
        <v>1.015424748E9</v>
      </c>
      <c r="H195" s="52" t="s">
        <v>4477</v>
      </c>
      <c r="I195" s="52" t="s">
        <v>912</v>
      </c>
      <c r="J195" s="52" t="s">
        <v>4927</v>
      </c>
      <c r="K195" s="52">
        <v>1.90523025E8</v>
      </c>
      <c r="L195" s="69">
        <v>45818.0</v>
      </c>
      <c r="M195" s="52" t="s">
        <v>5486</v>
      </c>
    </row>
    <row r="196">
      <c r="A196" s="52" t="s">
        <v>5426</v>
      </c>
      <c r="B196" s="52">
        <v>2.0251000037063E13</v>
      </c>
      <c r="C196" s="69">
        <v>45814.0</v>
      </c>
      <c r="D196" s="52" t="s">
        <v>5767</v>
      </c>
      <c r="E196" s="52" t="s">
        <v>4112</v>
      </c>
      <c r="F196" s="52" t="s">
        <v>3917</v>
      </c>
      <c r="G196" s="52">
        <v>1.019065837E9</v>
      </c>
      <c r="H196" s="52" t="s">
        <v>4114</v>
      </c>
      <c r="I196" s="52" t="s">
        <v>99</v>
      </c>
      <c r="J196" s="52" t="s">
        <v>4947</v>
      </c>
      <c r="K196" s="52">
        <v>1.90527325E8</v>
      </c>
      <c r="L196" s="69">
        <v>45818.0</v>
      </c>
      <c r="M196" s="52" t="s">
        <v>5590</v>
      </c>
    </row>
    <row r="197">
      <c r="A197" s="52" t="s">
        <v>5426</v>
      </c>
      <c r="B197" s="52">
        <v>2.0251110037073E13</v>
      </c>
      <c r="C197" s="69">
        <v>45814.0</v>
      </c>
      <c r="D197" s="52" t="s">
        <v>5768</v>
      </c>
      <c r="E197" s="52" t="s">
        <v>1403</v>
      </c>
      <c r="F197" s="52" t="s">
        <v>3917</v>
      </c>
      <c r="G197" s="52">
        <v>5.2215231E7</v>
      </c>
      <c r="H197" s="52" t="s">
        <v>3963</v>
      </c>
      <c r="I197" s="52" t="s">
        <v>4682</v>
      </c>
      <c r="J197" s="52" t="s">
        <v>4914</v>
      </c>
      <c r="K197" s="52">
        <v>2.03668125E8</v>
      </c>
      <c r="L197" s="69">
        <v>45828.0</v>
      </c>
      <c r="M197" s="52" t="s">
        <v>5769</v>
      </c>
    </row>
    <row r="198">
      <c r="A198" s="52" t="s">
        <v>5426</v>
      </c>
      <c r="B198" s="52">
        <v>2.0251900037103E13</v>
      </c>
      <c r="C198" s="69">
        <v>45814.0</v>
      </c>
      <c r="D198" s="52" t="s">
        <v>5770</v>
      </c>
      <c r="E198" s="52" t="s">
        <v>5339</v>
      </c>
      <c r="F198" s="52" t="s">
        <v>3917</v>
      </c>
      <c r="G198" s="52">
        <v>9.1013621E7</v>
      </c>
      <c r="H198" s="52" t="s">
        <v>4459</v>
      </c>
      <c r="I198" s="52" t="s">
        <v>551</v>
      </c>
      <c r="J198" s="52" t="s">
        <v>4908</v>
      </c>
      <c r="K198" s="52">
        <v>1.90472425E8</v>
      </c>
      <c r="L198" s="69">
        <v>45818.0</v>
      </c>
      <c r="M198" s="52" t="s">
        <v>5453</v>
      </c>
    </row>
    <row r="199">
      <c r="A199" s="52" t="s">
        <v>5426</v>
      </c>
      <c r="B199" s="52">
        <v>2.0251900037113E13</v>
      </c>
      <c r="C199" s="69">
        <v>45814.0</v>
      </c>
      <c r="D199" s="52" t="s">
        <v>5771</v>
      </c>
      <c r="E199" s="52" t="s">
        <v>681</v>
      </c>
      <c r="F199" s="52" t="s">
        <v>3917</v>
      </c>
      <c r="G199" s="52">
        <v>5.2181636E7</v>
      </c>
      <c r="H199" s="52" t="s">
        <v>4418</v>
      </c>
      <c r="I199" s="52" t="s">
        <v>222</v>
      </c>
      <c r="J199" s="52" t="s">
        <v>4908</v>
      </c>
      <c r="K199" s="52">
        <v>1.84858025E8</v>
      </c>
      <c r="L199" s="69">
        <v>45814.0</v>
      </c>
      <c r="M199" s="52" t="s">
        <v>5453</v>
      </c>
    </row>
    <row r="200">
      <c r="A200" s="52" t="s">
        <v>5426</v>
      </c>
      <c r="B200" s="52">
        <v>2.0251800037123E13</v>
      </c>
      <c r="C200" s="69">
        <v>45814.0</v>
      </c>
      <c r="D200" s="52" t="s">
        <v>5772</v>
      </c>
      <c r="E200" s="52" t="s">
        <v>485</v>
      </c>
      <c r="F200" s="52" t="s">
        <v>3917</v>
      </c>
      <c r="G200" s="52">
        <v>7.4130577E7</v>
      </c>
      <c r="H200" s="52" t="s">
        <v>4131</v>
      </c>
      <c r="I200" s="52" t="s">
        <v>4333</v>
      </c>
      <c r="J200" s="52" t="s">
        <v>4954</v>
      </c>
      <c r="K200" s="52">
        <v>1.84826725E8</v>
      </c>
      <c r="L200" s="69">
        <v>45814.0</v>
      </c>
      <c r="M200" s="52" t="s">
        <v>5542</v>
      </c>
    </row>
    <row r="201">
      <c r="A201" s="52" t="s">
        <v>5426</v>
      </c>
      <c r="B201" s="52">
        <v>2.0251610036763E13</v>
      </c>
      <c r="C201" s="69">
        <v>45814.0</v>
      </c>
      <c r="D201" s="52" t="s">
        <v>5773</v>
      </c>
      <c r="E201" s="52" t="s">
        <v>653</v>
      </c>
      <c r="F201" s="52" t="s">
        <v>3917</v>
      </c>
      <c r="G201" s="52">
        <v>1.073236997E9</v>
      </c>
      <c r="H201" s="52" t="s">
        <v>4509</v>
      </c>
      <c r="I201" s="52" t="s">
        <v>1441</v>
      </c>
      <c r="J201" s="52" t="s">
        <v>4938</v>
      </c>
      <c r="K201" s="52">
        <v>1.84823925E8</v>
      </c>
      <c r="L201" s="69">
        <v>45814.0</v>
      </c>
      <c r="M201" s="52" t="s">
        <v>5774</v>
      </c>
    </row>
    <row r="202">
      <c r="A202" s="52" t="s">
        <v>5426</v>
      </c>
      <c r="B202" s="52">
        <v>2.0251610036413E13</v>
      </c>
      <c r="C202" s="69">
        <v>45814.0</v>
      </c>
      <c r="D202" s="52" t="s">
        <v>5775</v>
      </c>
      <c r="E202" s="52" t="s">
        <v>859</v>
      </c>
      <c r="F202" s="52" t="s">
        <v>3917</v>
      </c>
      <c r="G202" s="52">
        <v>1.032433564E9</v>
      </c>
      <c r="H202" s="52" t="s">
        <v>4469</v>
      </c>
      <c r="I202" s="52" t="s">
        <v>1441</v>
      </c>
      <c r="J202" s="52" t="s">
        <v>4938</v>
      </c>
      <c r="K202" s="52">
        <v>1.84855125E8</v>
      </c>
      <c r="L202" s="69">
        <v>45814.0</v>
      </c>
      <c r="M202" s="52" t="s">
        <v>5776</v>
      </c>
    </row>
    <row r="203">
      <c r="A203" s="52" t="s">
        <v>5426</v>
      </c>
      <c r="B203" s="52">
        <v>2.0251610036393E13</v>
      </c>
      <c r="C203" s="69">
        <v>45814.0</v>
      </c>
      <c r="D203" s="52" t="s">
        <v>5777</v>
      </c>
      <c r="E203" s="52" t="s">
        <v>553</v>
      </c>
      <c r="F203" s="52" t="s">
        <v>3917</v>
      </c>
      <c r="G203" s="52">
        <v>1.07413537E9</v>
      </c>
      <c r="H203" s="52" t="s">
        <v>4075</v>
      </c>
      <c r="I203" s="52" t="s">
        <v>1441</v>
      </c>
      <c r="J203" s="52" t="s">
        <v>4938</v>
      </c>
      <c r="K203" s="52">
        <v>1.99930825E8</v>
      </c>
      <c r="L203" s="69">
        <v>45826.0</v>
      </c>
      <c r="M203" s="52" t="s">
        <v>5647</v>
      </c>
    </row>
    <row r="204">
      <c r="A204" s="52" t="s">
        <v>5426</v>
      </c>
      <c r="B204" s="52">
        <v>2.0251610036383E13</v>
      </c>
      <c r="C204" s="69">
        <v>45814.0</v>
      </c>
      <c r="D204" s="52" t="s">
        <v>5778</v>
      </c>
      <c r="E204" s="52" t="s">
        <v>2804</v>
      </c>
      <c r="F204" s="52" t="s">
        <v>3917</v>
      </c>
      <c r="G204" s="52">
        <v>1.01020469E9</v>
      </c>
      <c r="H204" s="52" t="s">
        <v>4487</v>
      </c>
      <c r="I204" s="52" t="s">
        <v>1441</v>
      </c>
      <c r="J204" s="52" t="s">
        <v>4938</v>
      </c>
      <c r="K204" s="52">
        <v>1.99940625E8</v>
      </c>
      <c r="L204" s="69">
        <v>45826.0</v>
      </c>
      <c r="M204" s="52" t="s">
        <v>5779</v>
      </c>
    </row>
    <row r="205">
      <c r="A205" s="52" t="s">
        <v>5426</v>
      </c>
      <c r="B205" s="52">
        <v>2.0251610036433E13</v>
      </c>
      <c r="C205" s="69">
        <v>45814.0</v>
      </c>
      <c r="D205" s="52" t="s">
        <v>5780</v>
      </c>
      <c r="E205" s="52" t="s">
        <v>4040</v>
      </c>
      <c r="F205" s="52" t="s">
        <v>3917</v>
      </c>
      <c r="G205" s="52">
        <v>1.100838461E9</v>
      </c>
      <c r="H205" s="52" t="s">
        <v>4041</v>
      </c>
      <c r="I205" s="52" t="s">
        <v>1441</v>
      </c>
      <c r="J205" s="52" t="s">
        <v>4938</v>
      </c>
      <c r="K205" s="52">
        <v>1.99931625E8</v>
      </c>
      <c r="L205" s="69">
        <v>45826.0</v>
      </c>
      <c r="M205" s="52" t="s">
        <v>5568</v>
      </c>
    </row>
    <row r="206">
      <c r="A206" s="52" t="s">
        <v>5426</v>
      </c>
      <c r="B206" s="52">
        <v>2.0251610036403E13</v>
      </c>
      <c r="C206" s="69">
        <v>45814.0</v>
      </c>
      <c r="D206" s="52" t="s">
        <v>5781</v>
      </c>
      <c r="E206" s="52" t="s">
        <v>4455</v>
      </c>
      <c r="F206" s="52" t="s">
        <v>3917</v>
      </c>
      <c r="G206" s="52">
        <v>1.088351048E9</v>
      </c>
      <c r="H206" s="52" t="s">
        <v>4456</v>
      </c>
      <c r="I206" s="52" t="s">
        <v>1441</v>
      </c>
      <c r="J206" s="52" t="s">
        <v>4938</v>
      </c>
      <c r="K206" s="52">
        <v>1.84867925E8</v>
      </c>
      <c r="L206" s="69">
        <v>45814.0</v>
      </c>
      <c r="M206" s="52" t="s">
        <v>5472</v>
      </c>
    </row>
    <row r="207">
      <c r="A207" s="52" t="s">
        <v>5426</v>
      </c>
      <c r="B207" s="52">
        <v>2.0251000037153E13</v>
      </c>
      <c r="C207" s="69">
        <v>45814.0</v>
      </c>
      <c r="D207" s="52" t="s">
        <v>5782</v>
      </c>
      <c r="E207" s="52" t="s">
        <v>1173</v>
      </c>
      <c r="F207" s="52" t="s">
        <v>3917</v>
      </c>
      <c r="G207" s="52">
        <v>8.0770951E7</v>
      </c>
      <c r="H207" s="52" t="s">
        <v>4898</v>
      </c>
      <c r="I207" s="52" t="s">
        <v>2663</v>
      </c>
      <c r="J207" s="52" t="s">
        <v>4947</v>
      </c>
      <c r="K207" s="52" t="s">
        <v>5783</v>
      </c>
      <c r="L207" s="69">
        <v>45819.0</v>
      </c>
      <c r="M207" s="52" t="s">
        <v>5784</v>
      </c>
    </row>
    <row r="208">
      <c r="A208" s="52" t="s">
        <v>5426</v>
      </c>
      <c r="B208" s="52">
        <v>2.0251000037143E13</v>
      </c>
      <c r="C208" s="69">
        <v>45814.0</v>
      </c>
      <c r="D208" s="52" t="s">
        <v>5785</v>
      </c>
      <c r="E208" s="52" t="s">
        <v>1034</v>
      </c>
      <c r="F208" s="52" t="s">
        <v>3917</v>
      </c>
      <c r="G208" s="52">
        <v>5.2151456E7</v>
      </c>
      <c r="H208" s="52" t="s">
        <v>4522</v>
      </c>
      <c r="I208" s="52" t="s">
        <v>2663</v>
      </c>
      <c r="J208" s="52" t="s">
        <v>4947</v>
      </c>
      <c r="K208" s="52" t="s">
        <v>5786</v>
      </c>
      <c r="L208" s="69">
        <v>45819.0</v>
      </c>
      <c r="M208" s="52" t="s">
        <v>5787</v>
      </c>
    </row>
    <row r="209">
      <c r="A209" s="52" t="s">
        <v>5426</v>
      </c>
      <c r="B209" s="52">
        <v>2.0251000037163E13</v>
      </c>
      <c r="C209" s="69">
        <v>45814.0</v>
      </c>
      <c r="D209" s="52" t="s">
        <v>5788</v>
      </c>
      <c r="E209" s="52" t="s">
        <v>1226</v>
      </c>
      <c r="F209" s="52" t="s">
        <v>3917</v>
      </c>
      <c r="G209" s="52">
        <v>1.144139462E9</v>
      </c>
      <c r="H209" s="52" t="s">
        <v>5226</v>
      </c>
      <c r="I209" s="52" t="s">
        <v>2663</v>
      </c>
      <c r="J209" s="52" t="s">
        <v>4947</v>
      </c>
      <c r="K209" s="52">
        <v>1.94376225E8</v>
      </c>
      <c r="L209" s="69">
        <v>45820.0</v>
      </c>
      <c r="M209" s="52" t="s">
        <v>5443</v>
      </c>
    </row>
    <row r="210">
      <c r="A210" s="52" t="s">
        <v>5426</v>
      </c>
      <c r="B210" s="52">
        <v>2.0251020037173E13</v>
      </c>
      <c r="C210" s="69">
        <v>45814.0</v>
      </c>
      <c r="D210" s="52" t="s">
        <v>5789</v>
      </c>
      <c r="E210" s="52" t="s">
        <v>4530</v>
      </c>
      <c r="F210" s="52" t="s">
        <v>3917</v>
      </c>
      <c r="G210" s="52">
        <v>1.016069508E9</v>
      </c>
      <c r="H210" s="52" t="s">
        <v>4531</v>
      </c>
      <c r="I210" s="52" t="s">
        <v>4319</v>
      </c>
      <c r="J210" s="52" t="s">
        <v>4976</v>
      </c>
      <c r="K210" s="52">
        <v>1.91771725E8</v>
      </c>
      <c r="L210" s="69">
        <v>45819.0</v>
      </c>
      <c r="M210" s="52" t="s">
        <v>5790</v>
      </c>
    </row>
    <row r="211">
      <c r="A211" s="52" t="s">
        <v>5426</v>
      </c>
      <c r="B211" s="52">
        <v>2.0251610036893E13</v>
      </c>
      <c r="C211" s="69">
        <v>45814.0</v>
      </c>
      <c r="D211" s="52" t="s">
        <v>5791</v>
      </c>
      <c r="E211" s="52" t="s">
        <v>1072</v>
      </c>
      <c r="F211" s="52" t="s">
        <v>3917</v>
      </c>
      <c r="G211" s="52">
        <v>1.113638043E9</v>
      </c>
      <c r="H211" s="52" t="s">
        <v>4543</v>
      </c>
      <c r="I211" s="52" t="s">
        <v>874</v>
      </c>
      <c r="J211" s="52" t="s">
        <v>4938</v>
      </c>
      <c r="K211" s="52">
        <v>1.99933725E8</v>
      </c>
      <c r="L211" s="69">
        <v>45826.0</v>
      </c>
      <c r="M211" s="52" t="s">
        <v>5644</v>
      </c>
    </row>
    <row r="212">
      <c r="A212" s="52" t="s">
        <v>5426</v>
      </c>
      <c r="B212" s="52">
        <v>2.0251800037183E13</v>
      </c>
      <c r="C212" s="69">
        <v>45814.0</v>
      </c>
      <c r="D212" s="52" t="s">
        <v>5792</v>
      </c>
      <c r="E212" s="52" t="s">
        <v>448</v>
      </c>
      <c r="F212" s="52" t="s">
        <v>3917</v>
      </c>
      <c r="G212" s="52">
        <v>4.209482E7</v>
      </c>
      <c r="H212" s="52" t="s">
        <v>3961</v>
      </c>
      <c r="I212" s="52" t="s">
        <v>4333</v>
      </c>
      <c r="J212" s="52" t="s">
        <v>4954</v>
      </c>
      <c r="K212" s="52">
        <v>1.91767425E8</v>
      </c>
      <c r="L212" s="69">
        <v>45819.0</v>
      </c>
      <c r="M212" s="52" t="s">
        <v>5542</v>
      </c>
    </row>
    <row r="213">
      <c r="A213" s="52" t="s">
        <v>5426</v>
      </c>
      <c r="B213" s="52">
        <v>2.0251800037223E13</v>
      </c>
      <c r="C213" s="69">
        <v>45814.0</v>
      </c>
      <c r="D213" s="52" t="s">
        <v>5793</v>
      </c>
      <c r="E213" s="52" t="s">
        <v>538</v>
      </c>
      <c r="F213" s="52" t="s">
        <v>3917</v>
      </c>
      <c r="G213" s="52">
        <v>8.7949267E7</v>
      </c>
      <c r="H213" s="52" t="s">
        <v>4172</v>
      </c>
      <c r="I213" s="52" t="s">
        <v>4339</v>
      </c>
      <c r="J213" s="52" t="s">
        <v>4954</v>
      </c>
      <c r="K213" s="52">
        <v>1.91784425E8</v>
      </c>
      <c r="L213" s="69">
        <v>45819.0</v>
      </c>
      <c r="M213" s="52" t="s">
        <v>5794</v>
      </c>
    </row>
    <row r="214">
      <c r="A214" s="52" t="s">
        <v>5426</v>
      </c>
      <c r="B214" s="52">
        <v>2.0251020037273E13</v>
      </c>
      <c r="C214" s="69">
        <v>45814.0</v>
      </c>
      <c r="D214" s="52" t="s">
        <v>5795</v>
      </c>
      <c r="E214" s="52" t="s">
        <v>5353</v>
      </c>
      <c r="F214" s="52" t="s">
        <v>4127</v>
      </c>
      <c r="G214" s="52">
        <v>9.0145582E8</v>
      </c>
      <c r="H214" s="52" t="s">
        <v>4879</v>
      </c>
      <c r="I214" s="52" t="s">
        <v>4295</v>
      </c>
      <c r="J214" s="52" t="s">
        <v>4976</v>
      </c>
      <c r="K214" s="52">
        <v>2.07323825E8</v>
      </c>
      <c r="L214" s="69">
        <v>45828.0</v>
      </c>
      <c r="M214" s="52" t="s">
        <v>5653</v>
      </c>
    </row>
    <row r="215">
      <c r="A215" s="52" t="s">
        <v>5426</v>
      </c>
      <c r="B215" s="52">
        <v>2.0251500036923E13</v>
      </c>
      <c r="C215" s="69">
        <v>45814.0</v>
      </c>
      <c r="D215" s="52" t="s">
        <v>5796</v>
      </c>
      <c r="E215" s="52" t="s">
        <v>879</v>
      </c>
      <c r="F215" s="52" t="s">
        <v>3917</v>
      </c>
      <c r="G215" s="52">
        <v>1.010210361E9</v>
      </c>
      <c r="H215" s="52" t="s">
        <v>4481</v>
      </c>
      <c r="I215" s="52" t="s">
        <v>4443</v>
      </c>
      <c r="J215" s="52" t="s">
        <v>4927</v>
      </c>
      <c r="K215" s="52">
        <v>1.91769825E8</v>
      </c>
      <c r="L215" s="69">
        <v>45819.0</v>
      </c>
      <c r="M215" s="52" t="s">
        <v>5797</v>
      </c>
    </row>
    <row r="216">
      <c r="A216" s="52" t="s">
        <v>5426</v>
      </c>
      <c r="B216" s="52">
        <v>2.0251610037233E13</v>
      </c>
      <c r="C216" s="69">
        <v>45814.0</v>
      </c>
      <c r="D216" s="52" t="s">
        <v>5798</v>
      </c>
      <c r="E216" s="52" t="s">
        <v>1254</v>
      </c>
      <c r="F216" s="52" t="s">
        <v>4127</v>
      </c>
      <c r="G216" s="52">
        <v>8.60007386E8</v>
      </c>
      <c r="H216" s="52" t="s">
        <v>1241</v>
      </c>
      <c r="I216" s="52" t="s">
        <v>5799</v>
      </c>
      <c r="J216" s="52" t="s">
        <v>4947</v>
      </c>
      <c r="K216" s="52">
        <v>1.97655525E8</v>
      </c>
      <c r="L216" s="69">
        <v>45824.0</v>
      </c>
      <c r="M216" s="52" t="s">
        <v>5800</v>
      </c>
    </row>
    <row r="217">
      <c r="A217" s="52" t="s">
        <v>5426</v>
      </c>
      <c r="B217" s="52">
        <v>2.0251300037283E13</v>
      </c>
      <c r="C217" s="69">
        <v>45814.0</v>
      </c>
      <c r="D217" s="52" t="s">
        <v>5801</v>
      </c>
      <c r="E217" s="52" t="s">
        <v>434</v>
      </c>
      <c r="F217" s="52" t="s">
        <v>3917</v>
      </c>
      <c r="G217" s="52">
        <v>1.022406922E9</v>
      </c>
      <c r="H217" s="52" t="s">
        <v>4083</v>
      </c>
      <c r="I217" s="52" t="s">
        <v>438</v>
      </c>
      <c r="J217" s="52" t="s">
        <v>134</v>
      </c>
      <c r="K217" s="52">
        <v>1.99935525E8</v>
      </c>
      <c r="L217" s="69">
        <v>45826.0</v>
      </c>
      <c r="M217" s="52" t="s">
        <v>5802</v>
      </c>
    </row>
    <row r="218">
      <c r="A218" s="52" t="s">
        <v>5426</v>
      </c>
      <c r="B218" s="52">
        <v>2.0251800037313E13</v>
      </c>
      <c r="C218" s="69">
        <v>45817.0</v>
      </c>
      <c r="D218" s="52" t="s">
        <v>5803</v>
      </c>
      <c r="E218" s="52" t="s">
        <v>2755</v>
      </c>
      <c r="F218" s="52" t="s">
        <v>3917</v>
      </c>
      <c r="G218" s="52">
        <v>8.005725E7</v>
      </c>
      <c r="H218" s="52" t="s">
        <v>3991</v>
      </c>
      <c r="I218" s="52" t="s">
        <v>514</v>
      </c>
      <c r="J218" s="52" t="s">
        <v>4954</v>
      </c>
      <c r="K218" s="52">
        <v>1.88117125E8</v>
      </c>
      <c r="L218" s="69">
        <v>45817.0</v>
      </c>
      <c r="M218" s="52" t="s">
        <v>5434</v>
      </c>
    </row>
    <row r="219">
      <c r="A219" s="52" t="s">
        <v>5426</v>
      </c>
      <c r="B219" s="52">
        <v>2.0251500037323E13</v>
      </c>
      <c r="C219" s="69">
        <v>45817.0</v>
      </c>
      <c r="D219" s="52" t="s">
        <v>5804</v>
      </c>
      <c r="E219" s="52" t="s">
        <v>853</v>
      </c>
      <c r="F219" s="52" t="s">
        <v>3917</v>
      </c>
      <c r="G219" s="52">
        <v>1.022995967E9</v>
      </c>
      <c r="H219" s="52" t="s">
        <v>4483</v>
      </c>
      <c r="I219" s="52" t="s">
        <v>4443</v>
      </c>
      <c r="J219" s="52" t="s">
        <v>4927</v>
      </c>
      <c r="K219" s="52">
        <v>1.88101225E8</v>
      </c>
      <c r="L219" s="69">
        <v>45817.0</v>
      </c>
      <c r="M219" s="52" t="s">
        <v>5805</v>
      </c>
    </row>
    <row r="220">
      <c r="A220" s="52" t="s">
        <v>5426</v>
      </c>
      <c r="B220" s="52">
        <v>2.0251300037363E13</v>
      </c>
      <c r="C220" s="69">
        <v>45817.0</v>
      </c>
      <c r="D220" s="52" t="s">
        <v>5806</v>
      </c>
      <c r="E220" s="52" t="s">
        <v>329</v>
      </c>
      <c r="F220" s="52" t="s">
        <v>3917</v>
      </c>
      <c r="G220" s="52">
        <v>1.003691415E9</v>
      </c>
      <c r="H220" s="52" t="s">
        <v>4060</v>
      </c>
      <c r="I220" s="52" t="s">
        <v>192</v>
      </c>
      <c r="J220" s="52" t="s">
        <v>134</v>
      </c>
      <c r="K220" s="52">
        <v>1.88106025E8</v>
      </c>
      <c r="L220" s="69">
        <v>45817.0</v>
      </c>
      <c r="M220" s="52" t="s">
        <v>5807</v>
      </c>
    </row>
    <row r="221">
      <c r="A221" s="52" t="s">
        <v>5426</v>
      </c>
      <c r="B221" s="52">
        <v>2.0251300037373E13</v>
      </c>
      <c r="C221" s="69">
        <v>45817.0</v>
      </c>
      <c r="D221" s="52" t="s">
        <v>5808</v>
      </c>
      <c r="E221" s="52" t="s">
        <v>259</v>
      </c>
      <c r="F221" s="52" t="s">
        <v>3917</v>
      </c>
      <c r="G221" s="52">
        <v>1.070924443E9</v>
      </c>
      <c r="H221" s="52" t="s">
        <v>4062</v>
      </c>
      <c r="I221" s="52" t="s">
        <v>192</v>
      </c>
      <c r="J221" s="52" t="s">
        <v>134</v>
      </c>
      <c r="K221" s="52">
        <v>1.88115025E8</v>
      </c>
      <c r="L221" s="69">
        <v>45817.0</v>
      </c>
      <c r="M221" s="52" t="s">
        <v>5809</v>
      </c>
    </row>
    <row r="222">
      <c r="A222" s="52" t="s">
        <v>5426</v>
      </c>
      <c r="B222" s="52">
        <v>2.0251300037383E13</v>
      </c>
      <c r="C222" s="69">
        <v>45817.0</v>
      </c>
      <c r="D222" s="52" t="s">
        <v>5810</v>
      </c>
      <c r="E222" s="52" t="s">
        <v>439</v>
      </c>
      <c r="F222" s="52" t="s">
        <v>3917</v>
      </c>
      <c r="G222" s="52">
        <v>5.2354579E7</v>
      </c>
      <c r="H222" s="52" t="s">
        <v>4110</v>
      </c>
      <c r="I222" s="52" t="s">
        <v>192</v>
      </c>
      <c r="J222" s="52" t="s">
        <v>134</v>
      </c>
      <c r="K222" s="52">
        <v>1.88118325E8</v>
      </c>
      <c r="L222" s="69">
        <v>45817.0</v>
      </c>
      <c r="M222" s="52" t="s">
        <v>5436</v>
      </c>
    </row>
    <row r="223">
      <c r="A223" s="52" t="s">
        <v>5426</v>
      </c>
      <c r="B223" s="52">
        <v>2.0251500037333E13</v>
      </c>
      <c r="C223" s="69">
        <v>45817.0</v>
      </c>
      <c r="D223" s="52" t="s">
        <v>5811</v>
      </c>
      <c r="E223" s="52" t="s">
        <v>839</v>
      </c>
      <c r="F223" s="52" t="s">
        <v>3917</v>
      </c>
      <c r="G223" s="52">
        <v>1.030610778E9</v>
      </c>
      <c r="H223" s="52" t="s">
        <v>4479</v>
      </c>
      <c r="I223" s="52" t="s">
        <v>4443</v>
      </c>
      <c r="J223" s="52" t="s">
        <v>4927</v>
      </c>
      <c r="K223" s="52">
        <v>1.90528325E8</v>
      </c>
      <c r="L223" s="69">
        <v>45818.0</v>
      </c>
      <c r="M223" s="52" t="s">
        <v>5486</v>
      </c>
    </row>
    <row r="224">
      <c r="A224" s="52" t="s">
        <v>5426</v>
      </c>
      <c r="B224" s="52">
        <v>2.0251300037343E13</v>
      </c>
      <c r="C224" s="69">
        <v>45817.0</v>
      </c>
      <c r="D224" s="52" t="s">
        <v>5812</v>
      </c>
      <c r="E224" s="52" t="s">
        <v>2749</v>
      </c>
      <c r="F224" s="52" t="s">
        <v>3917</v>
      </c>
      <c r="G224" s="52">
        <v>5.312276E7</v>
      </c>
      <c r="H224" s="52" t="s">
        <v>4052</v>
      </c>
      <c r="I224" s="52" t="s">
        <v>192</v>
      </c>
      <c r="J224" s="52" t="s">
        <v>134</v>
      </c>
      <c r="K224" s="52">
        <v>1.90505225E8</v>
      </c>
      <c r="L224" s="69">
        <v>45818.0</v>
      </c>
      <c r="M224" s="52" t="s">
        <v>5813</v>
      </c>
    </row>
    <row r="225">
      <c r="A225" s="52" t="s">
        <v>5426</v>
      </c>
      <c r="B225" s="52">
        <v>2.0251300037393E13</v>
      </c>
      <c r="C225" s="69">
        <v>45817.0</v>
      </c>
      <c r="D225" s="52" t="s">
        <v>5814</v>
      </c>
      <c r="E225" s="52" t="s">
        <v>810</v>
      </c>
      <c r="F225" s="52" t="s">
        <v>3917</v>
      </c>
      <c r="G225" s="52">
        <v>1.062425689E9</v>
      </c>
      <c r="H225" s="52" t="s">
        <v>4616</v>
      </c>
      <c r="I225" s="52" t="s">
        <v>192</v>
      </c>
      <c r="J225" s="52" t="s">
        <v>134</v>
      </c>
      <c r="K225" s="52">
        <v>1.94381225E8</v>
      </c>
      <c r="L225" s="69">
        <v>45820.0</v>
      </c>
      <c r="M225" s="52" t="s">
        <v>5815</v>
      </c>
    </row>
    <row r="226">
      <c r="A226" s="52" t="s">
        <v>5426</v>
      </c>
      <c r="B226" s="52">
        <v>2.0251100037403E13</v>
      </c>
      <c r="C226" s="69">
        <v>45817.0</v>
      </c>
      <c r="D226" s="52" t="s">
        <v>5816</v>
      </c>
      <c r="E226" s="52" t="s">
        <v>135</v>
      </c>
      <c r="F226" s="52" t="s">
        <v>3917</v>
      </c>
      <c r="G226" s="52">
        <v>1.013590021E9</v>
      </c>
      <c r="H226" s="52" t="s">
        <v>4156</v>
      </c>
      <c r="I226" s="52" t="s">
        <v>400</v>
      </c>
      <c r="J226" s="52" t="s">
        <v>4947</v>
      </c>
      <c r="K226" s="52">
        <v>1.91768825E8</v>
      </c>
      <c r="L226" s="69">
        <v>45819.0</v>
      </c>
      <c r="M226" s="52" t="s">
        <v>5456</v>
      </c>
    </row>
    <row r="227">
      <c r="A227" s="52" t="s">
        <v>5426</v>
      </c>
      <c r="B227" s="52">
        <v>2.0251500037423E13</v>
      </c>
      <c r="C227" s="69">
        <v>45817.0</v>
      </c>
      <c r="D227" s="52" t="s">
        <v>5817</v>
      </c>
      <c r="E227" s="52" t="s">
        <v>183</v>
      </c>
      <c r="F227" s="52" t="s">
        <v>3917</v>
      </c>
      <c r="G227" s="52">
        <v>1.024471867E9</v>
      </c>
      <c r="H227" s="52" t="s">
        <v>4089</v>
      </c>
      <c r="I227" s="52" t="s">
        <v>181</v>
      </c>
      <c r="J227" s="52" t="s">
        <v>4927</v>
      </c>
      <c r="K227" s="52">
        <v>1.94402225E8</v>
      </c>
      <c r="L227" s="69">
        <v>45820.0</v>
      </c>
      <c r="M227" s="52" t="s">
        <v>5534</v>
      </c>
    </row>
    <row r="228">
      <c r="A228" s="52" t="s">
        <v>5426</v>
      </c>
      <c r="B228" s="52">
        <v>2.0251130037443E13</v>
      </c>
      <c r="C228" s="69">
        <v>45817.0</v>
      </c>
      <c r="D228" s="52" t="s">
        <v>5818</v>
      </c>
      <c r="E228" s="52" t="s">
        <v>1169</v>
      </c>
      <c r="F228" s="52" t="s">
        <v>3917</v>
      </c>
      <c r="G228" s="52">
        <v>5.2959805E7</v>
      </c>
      <c r="H228" s="52" t="s">
        <v>4877</v>
      </c>
      <c r="I228" s="52" t="s">
        <v>274</v>
      </c>
      <c r="J228" s="52" t="s">
        <v>4914</v>
      </c>
      <c r="K228" s="52">
        <v>1.91797225E8</v>
      </c>
      <c r="L228" s="69">
        <v>45819.0</v>
      </c>
      <c r="M228" s="52" t="s">
        <v>5819</v>
      </c>
    </row>
    <row r="229">
      <c r="A229" s="52" t="s">
        <v>5426</v>
      </c>
      <c r="B229" s="52">
        <v>2.0251130037453E13</v>
      </c>
      <c r="C229" s="69">
        <v>45817.0</v>
      </c>
      <c r="D229" s="52" t="s">
        <v>5820</v>
      </c>
      <c r="E229" s="52" t="s">
        <v>1155</v>
      </c>
      <c r="F229" s="52" t="s">
        <v>3917</v>
      </c>
      <c r="G229" s="52">
        <v>5.2220531E7</v>
      </c>
      <c r="H229" s="52" t="s">
        <v>4884</v>
      </c>
      <c r="I229" s="52" t="s">
        <v>274</v>
      </c>
      <c r="J229" s="52" t="s">
        <v>4914</v>
      </c>
      <c r="K229" s="52">
        <v>1.92774825E8</v>
      </c>
      <c r="L229" s="69">
        <v>45819.0</v>
      </c>
      <c r="M229" s="52" t="s">
        <v>5821</v>
      </c>
    </row>
    <row r="230">
      <c r="A230" s="52" t="s">
        <v>5426</v>
      </c>
      <c r="B230" s="52">
        <v>2.0251900037463E13</v>
      </c>
      <c r="C230" s="69">
        <v>45817.0</v>
      </c>
      <c r="D230" s="52" t="s">
        <v>5822</v>
      </c>
      <c r="E230" s="52" t="s">
        <v>243</v>
      </c>
      <c r="F230" s="52" t="s">
        <v>3917</v>
      </c>
      <c r="G230" s="52">
        <v>2.8061081E7</v>
      </c>
      <c r="H230" s="52" t="s">
        <v>5823</v>
      </c>
      <c r="I230" s="52" t="s">
        <v>5640</v>
      </c>
      <c r="J230" s="52" t="s">
        <v>4908</v>
      </c>
      <c r="K230" s="52">
        <v>1.94374325E8</v>
      </c>
      <c r="L230" s="69">
        <v>45820.0</v>
      </c>
      <c r="M230" s="52" t="s">
        <v>5824</v>
      </c>
    </row>
    <row r="231">
      <c r="A231" s="52" t="s">
        <v>5426</v>
      </c>
      <c r="B231" s="52">
        <v>2.0251000037483E13</v>
      </c>
      <c r="C231" s="69">
        <v>45817.0</v>
      </c>
      <c r="D231" s="52" t="s">
        <v>5825</v>
      </c>
      <c r="E231" s="52" t="s">
        <v>5826</v>
      </c>
      <c r="F231" s="52" t="s">
        <v>3917</v>
      </c>
      <c r="G231" s="52">
        <v>7.2218912E7</v>
      </c>
      <c r="H231" s="52" t="s">
        <v>5296</v>
      </c>
      <c r="I231" s="52" t="s">
        <v>2663</v>
      </c>
      <c r="J231" s="52" t="s">
        <v>4947</v>
      </c>
      <c r="K231" s="52">
        <v>1.91786425E8</v>
      </c>
      <c r="L231" s="69">
        <v>45819.0</v>
      </c>
      <c r="M231" s="52" t="s">
        <v>5647</v>
      </c>
    </row>
    <row r="232">
      <c r="A232" s="52" t="s">
        <v>5426</v>
      </c>
      <c r="B232" s="52">
        <v>2.0251020037593E13</v>
      </c>
      <c r="C232" s="69">
        <v>45817.0</v>
      </c>
      <c r="D232" s="52" t="s">
        <v>5827</v>
      </c>
      <c r="E232" s="52" t="s">
        <v>1147</v>
      </c>
      <c r="F232" s="52" t="s">
        <v>3917</v>
      </c>
      <c r="G232" s="52">
        <v>7.9942061E7</v>
      </c>
      <c r="H232" s="52" t="s">
        <v>4824</v>
      </c>
      <c r="I232" s="52" t="s">
        <v>4703</v>
      </c>
      <c r="J232" s="52" t="s">
        <v>4976</v>
      </c>
      <c r="K232" s="52">
        <v>1.94379225E8</v>
      </c>
      <c r="L232" s="69">
        <v>45820.0</v>
      </c>
      <c r="M232" s="52" t="s">
        <v>5472</v>
      </c>
    </row>
    <row r="233">
      <c r="A233" s="52" t="s">
        <v>5426</v>
      </c>
      <c r="B233" s="52">
        <v>2.0251610036873E13</v>
      </c>
      <c r="C233" s="69">
        <v>45817.0</v>
      </c>
      <c r="D233" s="52" t="s">
        <v>5828</v>
      </c>
      <c r="E233" s="52" t="s">
        <v>649</v>
      </c>
      <c r="F233" s="52" t="s">
        <v>3917</v>
      </c>
      <c r="G233" s="52">
        <v>1.016068292E9</v>
      </c>
      <c r="H233" s="52" t="s">
        <v>4566</v>
      </c>
      <c r="I233" s="52" t="s">
        <v>4360</v>
      </c>
      <c r="J233" s="52" t="s">
        <v>4938</v>
      </c>
      <c r="K233" s="52">
        <v>1.99933125E8</v>
      </c>
      <c r="L233" s="69">
        <v>45826.0</v>
      </c>
      <c r="M233" s="52" t="s">
        <v>5644</v>
      </c>
    </row>
    <row r="234">
      <c r="A234" s="52" t="s">
        <v>5426</v>
      </c>
      <c r="B234" s="52">
        <v>2.0251610036863E13</v>
      </c>
      <c r="C234" s="69">
        <v>45817.0</v>
      </c>
      <c r="D234" s="52" t="s">
        <v>5829</v>
      </c>
      <c r="E234" s="52" t="s">
        <v>376</v>
      </c>
      <c r="F234" s="52" t="s">
        <v>3917</v>
      </c>
      <c r="G234" s="52">
        <v>1.075222248E9</v>
      </c>
      <c r="H234" s="52" t="s">
        <v>4047</v>
      </c>
      <c r="I234" s="52" t="s">
        <v>4360</v>
      </c>
      <c r="J234" s="52" t="s">
        <v>4938</v>
      </c>
      <c r="K234" s="52" t="s">
        <v>5830</v>
      </c>
      <c r="L234" s="69">
        <v>45826.0</v>
      </c>
      <c r="M234" s="52" t="s">
        <v>5666</v>
      </c>
    </row>
    <row r="235">
      <c r="A235" s="52" t="s">
        <v>5426</v>
      </c>
      <c r="B235" s="52">
        <v>2.0251020037563E13</v>
      </c>
      <c r="C235" s="69">
        <v>45817.0</v>
      </c>
      <c r="D235" s="52" t="s">
        <v>5831</v>
      </c>
      <c r="E235" s="52" t="s">
        <v>658</v>
      </c>
      <c r="F235" s="52" t="s">
        <v>3917</v>
      </c>
      <c r="G235" s="52">
        <v>7.9598641E7</v>
      </c>
      <c r="H235" s="52" t="s">
        <v>4388</v>
      </c>
      <c r="I235" s="52" t="s">
        <v>4295</v>
      </c>
      <c r="J235" s="52" t="s">
        <v>4976</v>
      </c>
      <c r="K235" s="52">
        <v>1.99936325E8</v>
      </c>
      <c r="L235" s="69">
        <v>45826.0</v>
      </c>
      <c r="M235" s="52" t="s">
        <v>5542</v>
      </c>
    </row>
    <row r="236">
      <c r="A236" s="52" t="s">
        <v>5426</v>
      </c>
      <c r="B236" s="52">
        <v>2.0251140037573E13</v>
      </c>
      <c r="C236" s="69">
        <v>45817.0</v>
      </c>
      <c r="D236" s="52" t="s">
        <v>5832</v>
      </c>
      <c r="E236" s="52" t="s">
        <v>58</v>
      </c>
      <c r="F236" s="52" t="s">
        <v>3917</v>
      </c>
      <c r="G236" s="52">
        <v>1.057582613E9</v>
      </c>
      <c r="H236" s="52" t="s">
        <v>4182</v>
      </c>
      <c r="I236" s="52" t="s">
        <v>40</v>
      </c>
      <c r="J236" s="52" t="s">
        <v>4914</v>
      </c>
      <c r="K236" s="52">
        <v>1.90402925E8</v>
      </c>
      <c r="L236" s="69">
        <v>45818.0</v>
      </c>
      <c r="M236" s="52" t="s">
        <v>5462</v>
      </c>
    </row>
    <row r="237">
      <c r="A237" s="52" t="s">
        <v>5426</v>
      </c>
      <c r="B237" s="52">
        <v>2.0251800037623E13</v>
      </c>
      <c r="C237" s="69">
        <v>45817.0</v>
      </c>
      <c r="D237" s="52" t="s">
        <v>5833</v>
      </c>
      <c r="E237" s="52" t="s">
        <v>5253</v>
      </c>
      <c r="F237" s="52" t="s">
        <v>3917</v>
      </c>
      <c r="G237" s="52">
        <v>1.3456486E7</v>
      </c>
      <c r="H237" s="52" t="s">
        <v>4158</v>
      </c>
      <c r="I237" s="52" t="s">
        <v>514</v>
      </c>
      <c r="J237" s="52" t="s">
        <v>4954</v>
      </c>
      <c r="K237" s="52">
        <v>1.90411925E8</v>
      </c>
      <c r="L237" s="69">
        <v>45818.0</v>
      </c>
      <c r="M237" s="52" t="s">
        <v>5476</v>
      </c>
    </row>
    <row r="238">
      <c r="A238" s="52" t="s">
        <v>5426</v>
      </c>
      <c r="B238" s="52">
        <v>2.0251300037683E13</v>
      </c>
      <c r="C238" s="69">
        <v>45818.0</v>
      </c>
      <c r="D238" s="52" t="s">
        <v>5834</v>
      </c>
      <c r="E238" s="52" t="s">
        <v>5835</v>
      </c>
      <c r="F238" s="52" t="s">
        <v>4127</v>
      </c>
      <c r="G238" s="52">
        <v>8.30013988E8</v>
      </c>
      <c r="H238" s="52" t="s">
        <v>5836</v>
      </c>
      <c r="I238" s="52" t="s">
        <v>192</v>
      </c>
      <c r="J238" s="52" t="s">
        <v>134</v>
      </c>
      <c r="K238" s="52">
        <v>2.16554625E8</v>
      </c>
      <c r="L238" s="69">
        <v>45833.0</v>
      </c>
      <c r="M238" s="52" t="s">
        <v>5837</v>
      </c>
    </row>
    <row r="239">
      <c r="A239" s="52" t="s">
        <v>5426</v>
      </c>
      <c r="B239" s="52">
        <v>2.0251130037723E13</v>
      </c>
      <c r="C239" s="69">
        <v>45818.0</v>
      </c>
      <c r="D239" s="52" t="s">
        <v>5838</v>
      </c>
      <c r="E239" s="52" t="s">
        <v>490</v>
      </c>
      <c r="F239" s="52" t="s">
        <v>4127</v>
      </c>
      <c r="G239" s="52">
        <v>8.30015429E8</v>
      </c>
      <c r="H239" s="52" t="s">
        <v>4600</v>
      </c>
      <c r="I239" s="52" t="s">
        <v>3612</v>
      </c>
      <c r="J239" s="52" t="s">
        <v>4914</v>
      </c>
      <c r="K239" s="52">
        <v>1.92345625E8</v>
      </c>
      <c r="L239" s="69">
        <v>45819.0</v>
      </c>
      <c r="M239" s="52" t="s">
        <v>5839</v>
      </c>
    </row>
    <row r="240">
      <c r="A240" s="52" t="s">
        <v>5426</v>
      </c>
      <c r="B240" s="52">
        <v>2.0251130037733E13</v>
      </c>
      <c r="C240" s="69">
        <v>45818.0</v>
      </c>
      <c r="D240" s="52" t="s">
        <v>5840</v>
      </c>
      <c r="E240" s="52" t="s">
        <v>5841</v>
      </c>
      <c r="F240" s="52" t="s">
        <v>4127</v>
      </c>
      <c r="G240" s="52">
        <v>8.30015429E8</v>
      </c>
      <c r="H240" s="52" t="s">
        <v>4600</v>
      </c>
      <c r="I240" s="52" t="s">
        <v>3612</v>
      </c>
      <c r="J240" s="52" t="s">
        <v>4914</v>
      </c>
      <c r="K240" s="52">
        <v>1.95934325E8</v>
      </c>
      <c r="L240" s="69">
        <v>45821.0</v>
      </c>
      <c r="M240" s="52" t="s">
        <v>5842</v>
      </c>
    </row>
    <row r="241">
      <c r="A241" s="52" t="s">
        <v>5426</v>
      </c>
      <c r="B241" s="52">
        <v>2.0251520037753E13</v>
      </c>
      <c r="C241" s="69">
        <v>45818.0</v>
      </c>
      <c r="D241" s="52" t="s">
        <v>5843</v>
      </c>
      <c r="E241" s="52" t="s">
        <v>690</v>
      </c>
      <c r="F241" s="52" t="s">
        <v>3917</v>
      </c>
      <c r="G241" s="52">
        <v>1.072714553E9</v>
      </c>
      <c r="H241" s="52" t="s">
        <v>4381</v>
      </c>
      <c r="I241" s="52" t="s">
        <v>4315</v>
      </c>
      <c r="J241" s="52" t="s">
        <v>4927</v>
      </c>
      <c r="K241" s="52">
        <v>1.91772725E8</v>
      </c>
      <c r="L241" s="69">
        <v>45819.0</v>
      </c>
      <c r="M241" s="52" t="s">
        <v>5699</v>
      </c>
    </row>
    <row r="242">
      <c r="A242" s="52" t="s">
        <v>5426</v>
      </c>
      <c r="B242" s="52">
        <v>2.0251900037783E13</v>
      </c>
      <c r="C242" s="69">
        <v>45818.0</v>
      </c>
      <c r="D242" s="52" t="s">
        <v>5844</v>
      </c>
      <c r="E242" s="52" t="s">
        <v>927</v>
      </c>
      <c r="F242" s="52" t="s">
        <v>3917</v>
      </c>
      <c r="G242" s="52">
        <v>1.1433786E9</v>
      </c>
      <c r="H242" s="52" t="s">
        <v>4614</v>
      </c>
      <c r="I242" s="52" t="s">
        <v>433</v>
      </c>
      <c r="J242" s="52" t="s">
        <v>4908</v>
      </c>
      <c r="K242" s="52">
        <v>1.99514125E8</v>
      </c>
      <c r="L242" s="69">
        <v>45825.0</v>
      </c>
      <c r="M242" s="52" t="s">
        <v>5453</v>
      </c>
    </row>
    <row r="243">
      <c r="A243" s="52" t="s">
        <v>5426</v>
      </c>
      <c r="B243" s="52">
        <v>2.0251000037903E13</v>
      </c>
      <c r="C243" s="69">
        <v>45819.0</v>
      </c>
      <c r="D243" s="52" t="s">
        <v>5845</v>
      </c>
      <c r="E243" s="52" t="s">
        <v>1263</v>
      </c>
      <c r="F243" s="52" t="s">
        <v>3917</v>
      </c>
      <c r="G243" s="52">
        <v>7.9950225E7</v>
      </c>
      <c r="H243" s="52" t="s">
        <v>5759</v>
      </c>
      <c r="I243" s="52" t="s">
        <v>2663</v>
      </c>
      <c r="J243" s="52" t="s">
        <v>4947</v>
      </c>
      <c r="K243" s="52">
        <v>1.95963125E8</v>
      </c>
      <c r="L243" s="69">
        <v>45821.0</v>
      </c>
      <c r="M243" s="52" t="s">
        <v>5462</v>
      </c>
    </row>
    <row r="244">
      <c r="A244" s="52" t="s">
        <v>5426</v>
      </c>
      <c r="B244" s="52">
        <v>2.0251020037963E13</v>
      </c>
      <c r="C244" s="69">
        <v>45819.0</v>
      </c>
      <c r="D244" s="52" t="s">
        <v>5846</v>
      </c>
      <c r="E244" s="52" t="s">
        <v>5314</v>
      </c>
      <c r="F244" s="52" t="s">
        <v>3917</v>
      </c>
      <c r="G244" s="52">
        <v>1.032460931E9</v>
      </c>
      <c r="H244" s="52" t="s">
        <v>4106</v>
      </c>
      <c r="I244" s="52" t="s">
        <v>4690</v>
      </c>
      <c r="J244" s="52" t="s">
        <v>4976</v>
      </c>
      <c r="K244" s="52">
        <v>1.94396525E8</v>
      </c>
      <c r="L244" s="69">
        <v>45820.0</v>
      </c>
      <c r="M244" s="52" t="s">
        <v>5847</v>
      </c>
    </row>
    <row r="245">
      <c r="A245" s="52" t="s">
        <v>5426</v>
      </c>
      <c r="B245" s="52">
        <v>2.0251900038343E13</v>
      </c>
      <c r="C245" s="69">
        <v>45821.0</v>
      </c>
      <c r="D245" s="52" t="s">
        <v>5848</v>
      </c>
      <c r="E245" s="52" t="s">
        <v>4277</v>
      </c>
      <c r="F245" s="52" t="s">
        <v>3917</v>
      </c>
      <c r="G245" s="52">
        <v>1.032465103E9</v>
      </c>
      <c r="H245" s="52" t="s">
        <v>4278</v>
      </c>
      <c r="I245" s="52" t="s">
        <v>1207</v>
      </c>
      <c r="J245" s="52" t="s">
        <v>4908</v>
      </c>
      <c r="K245" s="52">
        <v>1.97672225E8</v>
      </c>
      <c r="L245" s="69">
        <v>45824.0</v>
      </c>
      <c r="M245" s="52" t="s">
        <v>5448</v>
      </c>
    </row>
    <row r="246">
      <c r="A246" s="52" t="s">
        <v>5426</v>
      </c>
      <c r="B246" s="52">
        <v>2.0251110038513E13</v>
      </c>
      <c r="C246" s="69">
        <v>45821.0</v>
      </c>
      <c r="D246" s="52" t="s">
        <v>5849</v>
      </c>
      <c r="E246" s="52" t="s">
        <v>1339</v>
      </c>
      <c r="F246" s="52" t="s">
        <v>4127</v>
      </c>
      <c r="G246" s="52">
        <v>9.00182448E8</v>
      </c>
      <c r="H246" s="52" t="s">
        <v>5850</v>
      </c>
      <c r="I246" s="52" t="s">
        <v>3765</v>
      </c>
      <c r="J246" s="52" t="s">
        <v>4914</v>
      </c>
      <c r="K246" s="52">
        <v>2.00641425E8</v>
      </c>
      <c r="L246" s="69">
        <v>45826.0</v>
      </c>
      <c r="M246" s="52" t="s">
        <v>5851</v>
      </c>
    </row>
    <row r="247">
      <c r="A247" s="52" t="s">
        <v>5426</v>
      </c>
      <c r="B247" s="52">
        <v>2.0251900037933E13</v>
      </c>
      <c r="C247" s="69">
        <v>45821.0</v>
      </c>
      <c r="D247" s="52" t="s">
        <v>5852</v>
      </c>
      <c r="E247" s="52" t="s">
        <v>1345</v>
      </c>
      <c r="F247" s="52" t="s">
        <v>3917</v>
      </c>
      <c r="G247" s="52">
        <v>1.000603646E9</v>
      </c>
      <c r="H247" s="52" t="s">
        <v>5853</v>
      </c>
      <c r="I247" s="52" t="s">
        <v>779</v>
      </c>
      <c r="J247" s="52" t="s">
        <v>4908</v>
      </c>
      <c r="K247" s="52">
        <v>2.00654125E8</v>
      </c>
      <c r="L247" s="69">
        <v>45826.0</v>
      </c>
      <c r="M247" s="52" t="s">
        <v>5494</v>
      </c>
    </row>
    <row r="248">
      <c r="A248" s="52" t="s">
        <v>5426</v>
      </c>
      <c r="B248" s="52">
        <v>2.0251130038743E13</v>
      </c>
      <c r="C248" s="69">
        <v>45821.0</v>
      </c>
      <c r="D248" s="52" t="s">
        <v>5854</v>
      </c>
      <c r="E248" s="52" t="s">
        <v>391</v>
      </c>
      <c r="F248" s="52" t="s">
        <v>3917</v>
      </c>
      <c r="G248" s="52">
        <v>7.9448382E7</v>
      </c>
      <c r="H248" s="52" t="s">
        <v>4064</v>
      </c>
      <c r="I248" s="52" t="s">
        <v>4725</v>
      </c>
      <c r="J248" s="52" t="s">
        <v>4914</v>
      </c>
      <c r="K248" s="52">
        <v>1.97675225E8</v>
      </c>
      <c r="L248" s="69">
        <v>45824.0</v>
      </c>
      <c r="M248" s="52" t="s">
        <v>5532</v>
      </c>
    </row>
    <row r="249">
      <c r="A249" s="52" t="s">
        <v>5426</v>
      </c>
      <c r="B249" s="52">
        <v>2.0251020038583E13</v>
      </c>
      <c r="C249" s="69">
        <v>45821.0</v>
      </c>
      <c r="D249" s="52" t="s">
        <v>5855</v>
      </c>
      <c r="E249" s="52" t="s">
        <v>5388</v>
      </c>
      <c r="F249" s="52" t="s">
        <v>3917</v>
      </c>
      <c r="G249" s="52">
        <v>1.152693194E9</v>
      </c>
      <c r="H249" s="52" t="s">
        <v>4152</v>
      </c>
      <c r="I249" s="52" t="s">
        <v>4295</v>
      </c>
      <c r="J249" s="52" t="s">
        <v>4976</v>
      </c>
      <c r="K249" s="52">
        <v>2.19858225E8</v>
      </c>
      <c r="L249" s="69">
        <v>45834.0</v>
      </c>
      <c r="M249" s="52" t="s">
        <v>5590</v>
      </c>
    </row>
    <row r="250">
      <c r="A250" s="52" t="s">
        <v>5426</v>
      </c>
      <c r="B250" s="52">
        <v>2.0251110038753E13</v>
      </c>
      <c r="C250" s="69">
        <v>45821.0</v>
      </c>
      <c r="D250" s="52" t="s">
        <v>5856</v>
      </c>
      <c r="E250" s="52" t="s">
        <v>79</v>
      </c>
      <c r="F250" s="52" t="s">
        <v>4127</v>
      </c>
      <c r="G250" s="52">
        <v>8.11009788E8</v>
      </c>
      <c r="H250" s="52" t="s">
        <v>84</v>
      </c>
      <c r="I250" s="52" t="s">
        <v>146</v>
      </c>
      <c r="J250" s="52" t="s">
        <v>4914</v>
      </c>
      <c r="K250" s="52">
        <v>1.99558525E8</v>
      </c>
      <c r="L250" s="69">
        <v>45825.0</v>
      </c>
      <c r="M250" s="52" t="s">
        <v>5857</v>
      </c>
    </row>
    <row r="251">
      <c r="A251" s="52" t="s">
        <v>5426</v>
      </c>
      <c r="B251" s="52">
        <v>2.0251110038833E13</v>
      </c>
      <c r="C251" s="69">
        <v>45824.0</v>
      </c>
      <c r="D251" s="52" t="s">
        <v>5858</v>
      </c>
      <c r="E251" s="52" t="s">
        <v>904</v>
      </c>
      <c r="F251" s="52" t="s">
        <v>3917</v>
      </c>
      <c r="G251" s="52">
        <v>1.049623315E9</v>
      </c>
      <c r="H251" s="52" t="s">
        <v>4507</v>
      </c>
      <c r="I251" s="52" t="s">
        <v>524</v>
      </c>
      <c r="J251" s="52" t="s">
        <v>4914</v>
      </c>
      <c r="K251" s="52">
        <v>1.99515725E8</v>
      </c>
      <c r="L251" s="69">
        <v>45825.0</v>
      </c>
      <c r="M251" s="52" t="s">
        <v>5859</v>
      </c>
    </row>
    <row r="252">
      <c r="A252" s="52" t="s">
        <v>5426</v>
      </c>
      <c r="B252" s="52">
        <v>2.0251110039103E13</v>
      </c>
      <c r="C252" s="69">
        <v>45824.0</v>
      </c>
      <c r="D252" s="52" t="s">
        <v>5860</v>
      </c>
      <c r="E252" s="52" t="s">
        <v>519</v>
      </c>
      <c r="F252" s="52" t="s">
        <v>3917</v>
      </c>
      <c r="G252" s="52">
        <v>5.3082812E7</v>
      </c>
      <c r="H252" s="52" t="s">
        <v>4133</v>
      </c>
      <c r="I252" s="52" t="s">
        <v>524</v>
      </c>
      <c r="J252" s="52" t="s">
        <v>4914</v>
      </c>
      <c r="K252" s="52">
        <v>1.99519825E8</v>
      </c>
      <c r="L252" s="69">
        <v>45825.0</v>
      </c>
      <c r="M252" s="52" t="s">
        <v>5532</v>
      </c>
    </row>
    <row r="253">
      <c r="A253" s="52" t="s">
        <v>5426</v>
      </c>
      <c r="B253" s="52">
        <v>2.0251110039143E13</v>
      </c>
      <c r="C253" s="69">
        <v>45824.0</v>
      </c>
      <c r="D253" s="52" t="s">
        <v>5861</v>
      </c>
      <c r="E253" s="52" t="s">
        <v>3794</v>
      </c>
      <c r="F253" s="52" t="s">
        <v>3917</v>
      </c>
      <c r="G253" s="52">
        <v>1.010192885E9</v>
      </c>
      <c r="H253" s="52" t="s">
        <v>5431</v>
      </c>
      <c r="I253" s="52" t="s">
        <v>524</v>
      </c>
      <c r="J253" s="52" t="s">
        <v>4908</v>
      </c>
      <c r="K253" s="52">
        <v>2.15864025E8</v>
      </c>
      <c r="L253" s="69">
        <v>45833.0</v>
      </c>
      <c r="M253" s="52" t="s">
        <v>5438</v>
      </c>
    </row>
    <row r="254">
      <c r="A254" s="52" t="s">
        <v>5426</v>
      </c>
      <c r="B254" s="52">
        <v>2.0251900039193E13</v>
      </c>
      <c r="C254" s="69">
        <v>45825.0</v>
      </c>
      <c r="D254" s="52" t="s">
        <v>5862</v>
      </c>
      <c r="E254" s="52" t="s">
        <v>567</v>
      </c>
      <c r="F254" s="52" t="s">
        <v>3917</v>
      </c>
      <c r="G254" s="52">
        <v>7.9434157E7</v>
      </c>
      <c r="H254" s="52" t="s">
        <v>4168</v>
      </c>
      <c r="I254" s="52" t="s">
        <v>571</v>
      </c>
      <c r="J254" s="52" t="s">
        <v>4908</v>
      </c>
      <c r="K254" s="52">
        <v>1.99568425E8</v>
      </c>
      <c r="L254" s="69">
        <v>45825.0</v>
      </c>
      <c r="M254" s="52" t="s">
        <v>5448</v>
      </c>
    </row>
    <row r="255">
      <c r="A255" s="52" t="s">
        <v>5426</v>
      </c>
      <c r="B255" s="52">
        <v>2.0251900039183E13</v>
      </c>
      <c r="C255" s="69">
        <v>45825.0</v>
      </c>
      <c r="D255" s="52" t="s">
        <v>5863</v>
      </c>
      <c r="E255" s="52" t="s">
        <v>1411</v>
      </c>
      <c r="F255" s="52" t="s">
        <v>3917</v>
      </c>
      <c r="G255" s="52">
        <v>1.2750637E7</v>
      </c>
      <c r="H255" s="52" t="s">
        <v>5864</v>
      </c>
      <c r="I255" s="52" t="s">
        <v>571</v>
      </c>
      <c r="J255" s="52" t="s">
        <v>4908</v>
      </c>
      <c r="K255" s="52">
        <v>2.03100525E8</v>
      </c>
      <c r="L255" s="69">
        <v>45827.0</v>
      </c>
      <c r="M255" s="52" t="s">
        <v>5865</v>
      </c>
    </row>
    <row r="256">
      <c r="A256" s="52" t="s">
        <v>5426</v>
      </c>
      <c r="B256" s="52">
        <v>2.0251300039233E13</v>
      </c>
      <c r="C256" s="69">
        <v>45825.0</v>
      </c>
      <c r="D256" s="52" t="s">
        <v>5866</v>
      </c>
      <c r="E256" s="52" t="s">
        <v>4124</v>
      </c>
      <c r="F256" s="52" t="s">
        <v>3917</v>
      </c>
      <c r="G256" s="52">
        <v>8.0797794E7</v>
      </c>
      <c r="H256" s="52" t="s">
        <v>4125</v>
      </c>
      <c r="I256" s="52" t="s">
        <v>593</v>
      </c>
      <c r="J256" s="52" t="s">
        <v>134</v>
      </c>
      <c r="K256" s="52">
        <v>2.00668825E8</v>
      </c>
      <c r="L256" s="69">
        <v>45826.0</v>
      </c>
      <c r="M256" s="52" t="s">
        <v>5464</v>
      </c>
    </row>
    <row r="257">
      <c r="A257" s="52" t="s">
        <v>5426</v>
      </c>
      <c r="B257" s="52">
        <v>2.0251300039673E13</v>
      </c>
      <c r="C257" s="69">
        <v>45827.0</v>
      </c>
      <c r="D257" s="52" t="s">
        <v>5867</v>
      </c>
      <c r="E257" s="52" t="s">
        <v>1387</v>
      </c>
      <c r="F257" s="52" t="s">
        <v>3917</v>
      </c>
      <c r="G257" s="52">
        <v>1.015417568E9</v>
      </c>
      <c r="H257" s="52" t="s">
        <v>5868</v>
      </c>
      <c r="I257" s="52" t="s">
        <v>438</v>
      </c>
      <c r="J257" s="52" t="s">
        <v>134</v>
      </c>
      <c r="K257" s="52">
        <v>2.15847425E8</v>
      </c>
      <c r="L257" s="69">
        <v>45833.0</v>
      </c>
      <c r="M257" s="52" t="s">
        <v>5869</v>
      </c>
    </row>
    <row r="258">
      <c r="A258" s="52" t="s">
        <v>5426</v>
      </c>
      <c r="B258" s="52">
        <v>2.0251020039713E13</v>
      </c>
      <c r="C258" s="69">
        <v>45827.0</v>
      </c>
      <c r="D258" s="52" t="s">
        <v>5870</v>
      </c>
      <c r="E258" s="52" t="s">
        <v>1245</v>
      </c>
      <c r="F258" s="52" t="s">
        <v>4127</v>
      </c>
      <c r="G258" s="52">
        <v>8.30001113E8</v>
      </c>
      <c r="H258" s="52" t="s">
        <v>1904</v>
      </c>
      <c r="I258" s="52" t="s">
        <v>1232</v>
      </c>
      <c r="J258" s="52" t="s">
        <v>4976</v>
      </c>
      <c r="K258" s="52">
        <v>2.15858425E8</v>
      </c>
      <c r="L258" s="69">
        <v>45833.0</v>
      </c>
      <c r="M258" s="52" t="s">
        <v>5871</v>
      </c>
    </row>
    <row r="259">
      <c r="A259" s="52" t="s">
        <v>5426</v>
      </c>
      <c r="B259" s="52">
        <v>2.0251020039913E13</v>
      </c>
      <c r="C259" s="69">
        <v>45828.0</v>
      </c>
      <c r="D259" s="52" t="s">
        <v>5872</v>
      </c>
      <c r="E259" s="52" t="s">
        <v>713</v>
      </c>
      <c r="F259" s="52" t="s">
        <v>4127</v>
      </c>
      <c r="G259" s="52">
        <v>1.032362123E9</v>
      </c>
      <c r="H259" s="52" t="s">
        <v>4840</v>
      </c>
      <c r="I259" s="52" t="s">
        <v>1232</v>
      </c>
      <c r="J259" s="52" t="s">
        <v>4976</v>
      </c>
      <c r="K259" s="52">
        <v>2.15832025E8</v>
      </c>
      <c r="L259" s="69">
        <v>45833.0</v>
      </c>
      <c r="M259" s="52" t="s">
        <v>5462</v>
      </c>
    </row>
    <row r="260">
      <c r="A260" s="52" t="s">
        <v>5426</v>
      </c>
      <c r="B260" s="52">
        <v>2.0251020039843E13</v>
      </c>
      <c r="C260" s="69">
        <v>45828.0</v>
      </c>
      <c r="D260" s="52" t="s">
        <v>5873</v>
      </c>
      <c r="E260" s="52" t="s">
        <v>718</v>
      </c>
      <c r="F260" s="52" t="s">
        <v>3917</v>
      </c>
      <c r="G260" s="52">
        <v>5.530598E7</v>
      </c>
      <c r="H260" s="52" t="s">
        <v>4511</v>
      </c>
      <c r="I260" s="52" t="s">
        <v>4703</v>
      </c>
      <c r="J260" s="52" t="s">
        <v>4976</v>
      </c>
      <c r="K260" s="52">
        <v>2.15873625E8</v>
      </c>
      <c r="L260" s="69">
        <v>45833.0</v>
      </c>
      <c r="M260" s="52" t="s">
        <v>5496</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ht="33.75" customHeight="1">
      <c r="A1" s="115" t="s">
        <v>5874</v>
      </c>
      <c r="B1" s="115" t="s">
        <v>1999</v>
      </c>
      <c r="C1" s="115" t="s">
        <v>4</v>
      </c>
      <c r="D1" s="115" t="s">
        <v>5875</v>
      </c>
      <c r="E1" s="115" t="s">
        <v>5876</v>
      </c>
      <c r="F1" s="115" t="s">
        <v>5877</v>
      </c>
      <c r="G1" s="115" t="s">
        <v>7</v>
      </c>
      <c r="H1" s="115" t="s">
        <v>1448</v>
      </c>
      <c r="I1" s="115" t="s">
        <v>1961</v>
      </c>
      <c r="J1" s="116" t="s">
        <v>5878</v>
      </c>
      <c r="K1" s="115" t="s">
        <v>5879</v>
      </c>
      <c r="L1" s="115" t="s">
        <v>5880</v>
      </c>
      <c r="M1" s="115" t="s">
        <v>5881</v>
      </c>
      <c r="N1" s="115" t="s">
        <v>5882</v>
      </c>
      <c r="O1" s="115" t="s">
        <v>5883</v>
      </c>
      <c r="P1" s="115" t="s">
        <v>5884</v>
      </c>
      <c r="Q1" s="115" t="s">
        <v>5885</v>
      </c>
      <c r="R1" s="115" t="s">
        <v>5886</v>
      </c>
      <c r="S1" s="115" t="s">
        <v>5887</v>
      </c>
      <c r="T1" s="115" t="s">
        <v>5888</v>
      </c>
      <c r="U1" s="115" t="s">
        <v>5889</v>
      </c>
      <c r="V1" s="115" t="s">
        <v>5890</v>
      </c>
      <c r="W1" s="115" t="s">
        <v>5891</v>
      </c>
      <c r="X1" s="115" t="s">
        <v>5892</v>
      </c>
      <c r="Y1" s="115" t="s">
        <v>5893</v>
      </c>
      <c r="Z1" s="115" t="s">
        <v>5894</v>
      </c>
    </row>
    <row r="2">
      <c r="A2" s="52" t="s">
        <v>30</v>
      </c>
      <c r="B2" s="52" t="s">
        <v>31</v>
      </c>
      <c r="C2" s="52" t="s">
        <v>32</v>
      </c>
      <c r="D2" s="52" t="s">
        <v>5895</v>
      </c>
      <c r="E2" s="52" t="s">
        <v>33</v>
      </c>
      <c r="F2" s="52" t="s">
        <v>34</v>
      </c>
      <c r="G2" s="52" t="s">
        <v>35</v>
      </c>
      <c r="H2" s="52" t="s">
        <v>5896</v>
      </c>
      <c r="I2" s="52" t="s">
        <v>37</v>
      </c>
      <c r="J2" s="117">
        <v>9.7749993E7</v>
      </c>
      <c r="K2" s="72">
        <f>VLOOKUP(F2,PAGO1,7,FALSE)</f>
        <v>6812878</v>
      </c>
      <c r="L2" s="72">
        <f>VLOOKUP(I2,PAGO2,5,FALSE)</f>
        <v>6000000</v>
      </c>
      <c r="M2" s="72">
        <v>8886363.0</v>
      </c>
      <c r="N2" s="72">
        <v>8886363.0</v>
      </c>
      <c r="O2" s="52" t="str">
        <f>VLOOKUP(I2,RANGOPAGOS5,7,FALSE)</f>
        <v>#N/A</v>
      </c>
      <c r="P2" s="52" t="str">
        <f>VLOOKUP(I2,RANGOPAGOS6,7,FALSE)</f>
        <v>#N/A</v>
      </c>
      <c r="Z2" s="52" t="str">
        <f t="shared" ref="Z2:Z423" si="1">SUM(K2:Y2)</f>
        <v>#N/A</v>
      </c>
    </row>
    <row r="3">
      <c r="A3" s="52" t="s">
        <v>30</v>
      </c>
      <c r="B3" s="52" t="s">
        <v>43</v>
      </c>
      <c r="C3" s="52" t="s">
        <v>32</v>
      </c>
      <c r="D3" s="52" t="s">
        <v>5897</v>
      </c>
      <c r="E3" s="52" t="s">
        <v>33</v>
      </c>
      <c r="F3" s="52" t="s">
        <v>44</v>
      </c>
      <c r="G3" s="52" t="s">
        <v>45</v>
      </c>
      <c r="H3" s="52" t="s">
        <v>46</v>
      </c>
      <c r="I3" s="52">
        <v>3.7279138E7</v>
      </c>
      <c r="J3" s="117">
        <v>1.265E8</v>
      </c>
      <c r="K3" s="72">
        <f>VLOOKUP(F3,PAGO1,7,FALSE)</f>
        <v>8433333</v>
      </c>
      <c r="L3" s="72">
        <f>VLOOKUP(I3,PAGO2,5,FALSE)</f>
        <v>11000000</v>
      </c>
      <c r="M3" s="72">
        <f>VLOOKUP(I3,PAGO3,5,FALSE)</f>
        <v>11000000</v>
      </c>
      <c r="O3" s="52" t="str">
        <f>VLOOKUP(I3,RANGOPAGOS5,7,FALSE)</f>
        <v>$ 11.000.000</v>
      </c>
      <c r="P3" s="52" t="str">
        <f>VLOOKUP(I3,RANGOPAGOS6,7,FALSE)</f>
        <v>$ 11.000.000,00</v>
      </c>
      <c r="Z3" s="72">
        <f t="shared" si="1"/>
        <v>30433333</v>
      </c>
    </row>
    <row r="4">
      <c r="A4" s="52" t="s">
        <v>30</v>
      </c>
      <c r="B4" s="52" t="s">
        <v>49</v>
      </c>
      <c r="C4" s="52" t="s">
        <v>32</v>
      </c>
      <c r="D4" s="52" t="s">
        <v>5898</v>
      </c>
      <c r="E4" s="52" t="s">
        <v>33</v>
      </c>
      <c r="F4" s="52" t="s">
        <v>50</v>
      </c>
      <c r="G4" s="52" t="s">
        <v>51</v>
      </c>
      <c r="H4" s="52" t="s">
        <v>52</v>
      </c>
      <c r="I4" s="52">
        <v>1.053821048E9</v>
      </c>
      <c r="J4" s="117">
        <v>5.50505E7</v>
      </c>
      <c r="K4" s="72">
        <f>VLOOKUP(F4,PAGO1,7,FALSE)</f>
        <v>3510467</v>
      </c>
      <c r="L4" s="72">
        <f>VLOOKUP(I4,PAGO2,5,FALSE)</f>
        <v>4787000</v>
      </c>
      <c r="M4" s="72">
        <f>VLOOKUP(I4,PAGO3,5,FALSE)</f>
        <v>4787000</v>
      </c>
      <c r="O4" s="52" t="str">
        <f>VLOOKUP(I4,RANGOPAGOS5,7,FALSE)</f>
        <v>$ 5.507.400</v>
      </c>
      <c r="P4" s="52" t="str">
        <f>VLOOKUP(I4,RANGOPAGOS6,7,FALSE)</f>
        <v>$ 5.507.400,00</v>
      </c>
      <c r="Z4" s="72">
        <f t="shared" si="1"/>
        <v>13084467</v>
      </c>
    </row>
    <row r="5">
      <c r="A5" s="52" t="s">
        <v>30</v>
      </c>
      <c r="B5" s="52" t="s">
        <v>54</v>
      </c>
      <c r="C5" s="52" t="s">
        <v>32</v>
      </c>
      <c r="D5" s="52" t="s">
        <v>5899</v>
      </c>
      <c r="E5" s="52" t="s">
        <v>33</v>
      </c>
      <c r="F5" s="52" t="s">
        <v>55</v>
      </c>
      <c r="G5" s="52" t="s">
        <v>56</v>
      </c>
      <c r="H5" s="52" t="s">
        <v>57</v>
      </c>
      <c r="I5" s="52">
        <v>1.082863101E9</v>
      </c>
      <c r="J5" s="117">
        <v>4.2E7</v>
      </c>
      <c r="K5" s="72">
        <f>VLOOKUP(F5,PAGO1,7,FALSE)</f>
        <v>4600000</v>
      </c>
      <c r="L5" s="72">
        <f>VLOOKUP(I5,PAGO2,5,FALSE)</f>
        <v>6000000</v>
      </c>
      <c r="M5" s="72">
        <f>VLOOKUP(I5,PAGO3,5,FALSE)</f>
        <v>6000000</v>
      </c>
      <c r="O5" s="52" t="str">
        <f>VLOOKUP(I5,RANGOPAGOS5,7,FALSE)</f>
        <v>$ 6.000.000</v>
      </c>
      <c r="P5" s="52" t="str">
        <f>VLOOKUP(I5,RANGOPAGOS6,7,FALSE)</f>
        <v>$ 6.000.000,00</v>
      </c>
      <c r="Z5" s="72">
        <f t="shared" si="1"/>
        <v>16600000</v>
      </c>
    </row>
    <row r="6">
      <c r="A6" s="52" t="s">
        <v>30</v>
      </c>
      <c r="B6" s="52" t="s">
        <v>58</v>
      </c>
      <c r="C6" s="52" t="s">
        <v>32</v>
      </c>
      <c r="D6" s="52" t="s">
        <v>5900</v>
      </c>
      <c r="E6" s="52" t="s">
        <v>33</v>
      </c>
      <c r="F6" s="52" t="s">
        <v>59</v>
      </c>
      <c r="G6" s="52" t="s">
        <v>60</v>
      </c>
      <c r="H6" s="52" t="s">
        <v>61</v>
      </c>
      <c r="I6" s="52">
        <v>1.057582613E9</v>
      </c>
      <c r="J6" s="117">
        <v>7.7E7</v>
      </c>
      <c r="K6" s="72">
        <f>VLOOKUP(F6,PAGO1,7,FALSE)</f>
        <v>5133333</v>
      </c>
      <c r="L6" s="72">
        <f>VLOOKUP(I6,PAGO2,5,FALSE)</f>
        <v>7000000</v>
      </c>
      <c r="M6" s="72">
        <f>VLOOKUP(I6,PAGO3,5,FALSE)</f>
        <v>7000000</v>
      </c>
      <c r="O6" s="52" t="str">
        <f>VLOOKUP(I6,RANGOPAGOS5,7,FALSE)</f>
        <v>$ 7.000.000</v>
      </c>
      <c r="P6" s="52" t="str">
        <f>VLOOKUP(I6,RANGOPAGOS6,7,FALSE)</f>
        <v>$ 7.000.000,00</v>
      </c>
      <c r="Z6" s="72">
        <f t="shared" si="1"/>
        <v>19133333</v>
      </c>
    </row>
    <row r="7">
      <c r="A7" s="52" t="s">
        <v>30</v>
      </c>
      <c r="B7" s="52" t="s">
        <v>63</v>
      </c>
      <c r="C7" s="52" t="s">
        <v>32</v>
      </c>
      <c r="D7" s="52" t="s">
        <v>5901</v>
      </c>
      <c r="E7" s="52" t="s">
        <v>33</v>
      </c>
      <c r="F7" s="52" t="s">
        <v>64</v>
      </c>
      <c r="G7" s="52" t="s">
        <v>65</v>
      </c>
      <c r="H7" s="52" t="s">
        <v>66</v>
      </c>
      <c r="I7" s="52">
        <v>1.019094411E9</v>
      </c>
      <c r="J7" s="117">
        <v>1.8E7</v>
      </c>
      <c r="K7" s="72">
        <f>VLOOKUP(F7,PAGO1,7,FALSE)</f>
        <v>4400000</v>
      </c>
      <c r="L7" s="72">
        <f>VLOOKUP(I7,PAGO2,5,FALSE)</f>
        <v>6000000</v>
      </c>
      <c r="M7" s="72">
        <f>VLOOKUP(I7,PAGO3,5,FALSE)</f>
        <v>6000000</v>
      </c>
      <c r="O7" s="52" t="str">
        <f>VLOOKUP(I7,RANGOPAGOS5,7,FALSE)</f>
        <v>$ 6.000.000</v>
      </c>
      <c r="P7" s="52" t="str">
        <f>VLOOKUP(I7,RANGOPAGOS6,7,FALSE)</f>
        <v>$ 6.000.000,00</v>
      </c>
      <c r="Z7" s="72">
        <f t="shared" si="1"/>
        <v>16400000</v>
      </c>
    </row>
    <row r="8">
      <c r="A8" s="52" t="s">
        <v>30</v>
      </c>
      <c r="B8" s="52" t="s">
        <v>69</v>
      </c>
      <c r="C8" s="52" t="s">
        <v>32</v>
      </c>
      <c r="D8" s="52" t="s">
        <v>5902</v>
      </c>
      <c r="E8" s="52" t="s">
        <v>33</v>
      </c>
      <c r="F8" s="52" t="s">
        <v>70</v>
      </c>
      <c r="G8" s="52" t="s">
        <v>65</v>
      </c>
      <c r="H8" s="52" t="s">
        <v>71</v>
      </c>
      <c r="I8" s="52">
        <v>1.075248422E9</v>
      </c>
      <c r="J8" s="117">
        <v>1.8E7</v>
      </c>
      <c r="K8" s="72">
        <f>VLOOKUP(F8,PAGO1,7,FALSE)</f>
        <v>4400000</v>
      </c>
      <c r="L8" s="52" t="str">
        <f>VLOOKUP(I8,PAGO2,5,FALSE)</f>
        <v>#N/A</v>
      </c>
      <c r="O8" s="52" t="str">
        <f>VLOOKUP(I8,RANGOPAGOS5,7,FALSE)</f>
        <v>$ 8.886.363</v>
      </c>
      <c r="P8" s="52" t="str">
        <f>VLOOKUP(I8,RANGOPAGOS6,7,FALSE)</f>
        <v>$ 8.886.363,00</v>
      </c>
      <c r="Z8" s="52" t="str">
        <f t="shared" si="1"/>
        <v>#N/A</v>
      </c>
    </row>
    <row r="9">
      <c r="A9" s="52" t="s">
        <v>30</v>
      </c>
      <c r="B9" s="52" t="s">
        <v>73</v>
      </c>
      <c r="C9" s="52" t="s">
        <v>32</v>
      </c>
      <c r="D9" s="52" t="s">
        <v>5903</v>
      </c>
      <c r="E9" s="52" t="s">
        <v>33</v>
      </c>
      <c r="F9" s="52" t="s">
        <v>74</v>
      </c>
      <c r="G9" s="52" t="s">
        <v>75</v>
      </c>
      <c r="H9" s="52" t="s">
        <v>76</v>
      </c>
      <c r="I9" s="52">
        <v>3.9464093E7</v>
      </c>
      <c r="J9" s="117">
        <v>1.8E7</v>
      </c>
      <c r="K9" s="72">
        <f>VLOOKUP(F9,PAGO1,7,FALSE)</f>
        <v>4400000</v>
      </c>
      <c r="L9" s="72">
        <f>VLOOKUP(I9,PAGO2,5,FALSE)</f>
        <v>6000000</v>
      </c>
      <c r="M9" s="72">
        <f>VLOOKUP(I9,PAGO3,5,FALSE)</f>
        <v>6000000</v>
      </c>
      <c r="O9" s="52" t="str">
        <f>VLOOKUP(I9,RANGOPAGOS5,7,FALSE)</f>
        <v>$ 1.600.000</v>
      </c>
      <c r="P9" s="52" t="str">
        <f>VLOOKUP(I9,RANGOPAGOS6,7,FALSE)</f>
        <v>#N/A</v>
      </c>
      <c r="Z9" s="52" t="str">
        <f t="shared" si="1"/>
        <v>#N/A</v>
      </c>
    </row>
    <row r="10">
      <c r="A10" s="52" t="s">
        <v>30</v>
      </c>
      <c r="B10" s="52" t="s">
        <v>87</v>
      </c>
      <c r="C10" s="52" t="s">
        <v>32</v>
      </c>
      <c r="D10" s="52" t="s">
        <v>5904</v>
      </c>
      <c r="E10" s="52" t="s">
        <v>33</v>
      </c>
      <c r="F10" s="52" t="s">
        <v>88</v>
      </c>
      <c r="G10" s="52" t="s">
        <v>89</v>
      </c>
      <c r="H10" s="52" t="s">
        <v>90</v>
      </c>
      <c r="I10" s="52">
        <v>1.02078112E9</v>
      </c>
      <c r="J10" s="117">
        <v>9.13353E7</v>
      </c>
      <c r="K10" s="72">
        <f>VLOOKUP(F10,PAGO1,7,FALSE)</f>
        <v>5824280</v>
      </c>
      <c r="L10" s="72">
        <f>VLOOKUP(I10,PAGO2,5,FALSE)</f>
        <v>7942200</v>
      </c>
      <c r="M10" s="72">
        <f>VLOOKUP(I10,PAGO3,5,FALSE)</f>
        <v>7942200</v>
      </c>
      <c r="O10" s="52" t="str">
        <f>VLOOKUP(I10,RANGOPAGOS5,7,FALSE)</f>
        <v>$ 7.942.200</v>
      </c>
      <c r="P10" s="52" t="str">
        <f>VLOOKUP(I10,RANGOPAGOS6,7,FALSE)</f>
        <v>$ 7.942.200,00</v>
      </c>
      <c r="Z10" s="72">
        <f t="shared" si="1"/>
        <v>21708680</v>
      </c>
    </row>
    <row r="11">
      <c r="A11" s="52" t="s">
        <v>30</v>
      </c>
      <c r="B11" s="52" t="s">
        <v>94</v>
      </c>
      <c r="C11" s="52" t="s">
        <v>32</v>
      </c>
      <c r="D11" s="52" t="s">
        <v>5905</v>
      </c>
      <c r="E11" s="52" t="s">
        <v>33</v>
      </c>
      <c r="F11" s="52" t="s">
        <v>95</v>
      </c>
      <c r="G11" s="52" t="s">
        <v>96</v>
      </c>
      <c r="H11" s="52" t="s">
        <v>97</v>
      </c>
      <c r="I11" s="52">
        <v>1.085276539E9</v>
      </c>
      <c r="J11" s="117">
        <v>1.5E8</v>
      </c>
      <c r="K11" s="72">
        <f>VLOOKUP(F11,PAGO1,7,FALSE)</f>
        <v>8400000</v>
      </c>
      <c r="L11" s="72">
        <f>VLOOKUP(I11,PAGO2,5,FALSE)</f>
        <v>12764674</v>
      </c>
      <c r="M11" s="72">
        <f>VLOOKUP(I11,PAGO3,5,FALSE)</f>
        <v>12000000</v>
      </c>
      <c r="O11" s="52" t="str">
        <f>VLOOKUP(I11,RANGOPAGOS5,7,FALSE)</f>
        <v>$ 12.000.000</v>
      </c>
      <c r="P11" s="52" t="str">
        <f>VLOOKUP(I11,RANGOPAGOS6,7,FALSE)</f>
        <v>$ 12.879.838,00</v>
      </c>
      <c r="Z11" s="72">
        <f t="shared" si="1"/>
        <v>33164674</v>
      </c>
    </row>
    <row r="12">
      <c r="A12" s="52" t="s">
        <v>30</v>
      </c>
      <c r="B12" s="52" t="s">
        <v>101</v>
      </c>
      <c r="C12" s="52" t="s">
        <v>32</v>
      </c>
      <c r="D12" s="52" t="s">
        <v>5906</v>
      </c>
      <c r="E12" s="52" t="s">
        <v>33</v>
      </c>
      <c r="F12" s="52" t="s">
        <v>102</v>
      </c>
      <c r="G12" s="52" t="s">
        <v>103</v>
      </c>
      <c r="H12" s="52" t="s">
        <v>104</v>
      </c>
      <c r="I12" s="52">
        <v>1.016013668E9</v>
      </c>
      <c r="J12" s="117">
        <v>8.625E7</v>
      </c>
      <c r="K12" s="72">
        <f>VLOOKUP(F12,PAGO1,7,FALSE)</f>
        <v>5500000</v>
      </c>
      <c r="L12" s="72">
        <f>VLOOKUP(I12,PAGO2,5,FALSE)</f>
        <v>7500000</v>
      </c>
      <c r="M12" s="72">
        <f>VLOOKUP(I12,PAGO3,5,FALSE)</f>
        <v>7500000</v>
      </c>
      <c r="O12" s="52" t="str">
        <f>VLOOKUP(I12,RANGOPAGOS5,7,FALSE)</f>
        <v>$ 7.500.000</v>
      </c>
      <c r="P12" s="52" t="str">
        <f>VLOOKUP(I12,RANGOPAGOS6,7,FALSE)</f>
        <v>$ 7.500.000,00</v>
      </c>
      <c r="Z12" s="72">
        <f t="shared" si="1"/>
        <v>20500000</v>
      </c>
    </row>
    <row r="13">
      <c r="A13" s="52" t="s">
        <v>30</v>
      </c>
      <c r="B13" s="52" t="s">
        <v>107</v>
      </c>
      <c r="C13" s="52" t="s">
        <v>32</v>
      </c>
      <c r="D13" s="52" t="s">
        <v>5907</v>
      </c>
      <c r="E13" s="52" t="s">
        <v>33</v>
      </c>
      <c r="F13" s="52" t="s">
        <v>108</v>
      </c>
      <c r="G13" s="52" t="s">
        <v>109</v>
      </c>
      <c r="H13" s="52" t="s">
        <v>110</v>
      </c>
      <c r="I13" s="52">
        <v>1.032409297E9</v>
      </c>
      <c r="J13" s="117">
        <v>1.035E8</v>
      </c>
      <c r="K13" s="72">
        <f>VLOOKUP(F13,PAGO1,7,FALSE)</f>
        <v>6300000</v>
      </c>
      <c r="L13" s="72">
        <f>VLOOKUP(I13,PAGO2,5,FALSE)</f>
        <v>9000000</v>
      </c>
      <c r="M13" s="72">
        <f>VLOOKUP(I13,PAGO3,5,FALSE)</f>
        <v>9000000</v>
      </c>
      <c r="O13" s="52" t="str">
        <f>VLOOKUP(I13,RANGOPAGOS5,7,FALSE)</f>
        <v>$ 9.000.000</v>
      </c>
      <c r="P13" s="52" t="str">
        <f>VLOOKUP(I13,RANGOPAGOS6,7,FALSE)</f>
        <v>$ 9.000.000,00</v>
      </c>
      <c r="Z13" s="72">
        <f t="shared" si="1"/>
        <v>24300000</v>
      </c>
    </row>
    <row r="14">
      <c r="A14" s="52" t="s">
        <v>30</v>
      </c>
      <c r="B14" s="52" t="s">
        <v>114</v>
      </c>
      <c r="C14" s="52" t="s">
        <v>32</v>
      </c>
      <c r="D14" s="52" t="s">
        <v>5908</v>
      </c>
      <c r="E14" s="52" t="s">
        <v>33</v>
      </c>
      <c r="F14" s="52" t="s">
        <v>115</v>
      </c>
      <c r="G14" s="52" t="s">
        <v>116</v>
      </c>
      <c r="H14" s="52" t="s">
        <v>117</v>
      </c>
      <c r="I14" s="52">
        <v>5.235846E7</v>
      </c>
      <c r="J14" s="117">
        <v>9.2E7</v>
      </c>
      <c r="K14" s="72">
        <f>VLOOKUP(F14,PAGO1,7,FALSE)</f>
        <v>5600000</v>
      </c>
      <c r="L14" s="72">
        <f>VLOOKUP(I14,PAGO2,5,FALSE)</f>
        <v>8000000</v>
      </c>
      <c r="M14" s="72">
        <f>VLOOKUP(I14,PAGO3,5,FALSE)</f>
        <v>8000000</v>
      </c>
      <c r="O14" s="52" t="str">
        <f>VLOOKUP(I14,RANGOPAGOS5,7,FALSE)</f>
        <v>$ 8.000.000</v>
      </c>
      <c r="P14" s="52" t="str">
        <f>VLOOKUP(I14,RANGOPAGOS6,7,FALSE)</f>
        <v>$ 8.000.000,00</v>
      </c>
      <c r="Z14" s="72">
        <f t="shared" si="1"/>
        <v>21600000</v>
      </c>
    </row>
    <row r="15">
      <c r="A15" s="52" t="s">
        <v>30</v>
      </c>
      <c r="B15" s="52" t="s">
        <v>118</v>
      </c>
      <c r="C15" s="52" t="s">
        <v>32</v>
      </c>
      <c r="D15" s="52" t="s">
        <v>5909</v>
      </c>
      <c r="E15" s="52" t="s">
        <v>33</v>
      </c>
      <c r="F15" s="52" t="s">
        <v>119</v>
      </c>
      <c r="G15" s="52" t="s">
        <v>120</v>
      </c>
      <c r="H15" s="52" t="s">
        <v>121</v>
      </c>
      <c r="I15" s="52">
        <v>1.014280937E9</v>
      </c>
      <c r="J15" s="117">
        <v>1.97127E7</v>
      </c>
      <c r="K15" s="72">
        <v>2409330.0</v>
      </c>
      <c r="L15" s="72">
        <f>VLOOKUP(I15,PAGO2,5,FALSE)</f>
        <v>3285450</v>
      </c>
      <c r="M15" s="72">
        <f>VLOOKUP(I15,PAGO3,5,FALSE)</f>
        <v>3285450</v>
      </c>
      <c r="N15" s="72">
        <v>3285450.0</v>
      </c>
      <c r="O15" s="52" t="str">
        <f>VLOOKUP(I15,RANGOPAGOS5,7,FALSE)</f>
        <v>$ 3.285.450</v>
      </c>
      <c r="P15" s="52" t="str">
        <f>VLOOKUP(I15,RANGOPAGOS6,7,FALSE)</f>
        <v>$ 3.285.450,00</v>
      </c>
      <c r="Z15" s="72">
        <f t="shared" si="1"/>
        <v>12265680</v>
      </c>
    </row>
    <row r="16">
      <c r="A16" s="52" t="s">
        <v>30</v>
      </c>
      <c r="B16" s="52" t="s">
        <v>123</v>
      </c>
      <c r="C16" s="52" t="s">
        <v>32</v>
      </c>
      <c r="D16" s="52" t="s">
        <v>5910</v>
      </c>
      <c r="E16" s="52" t="s">
        <v>33</v>
      </c>
      <c r="F16" s="52" t="s">
        <v>124</v>
      </c>
      <c r="G16" s="52" t="s">
        <v>125</v>
      </c>
      <c r="H16" s="52" t="s">
        <v>126</v>
      </c>
      <c r="I16" s="52">
        <v>1.013653433E9</v>
      </c>
      <c r="J16" s="117">
        <v>1.0925E8</v>
      </c>
      <c r="K16" s="72">
        <f>VLOOKUP(F16,PAGO1,7,FALSE)</f>
        <v>6966667</v>
      </c>
      <c r="L16" s="72">
        <f>VLOOKUP(I16,PAGO2,5,FALSE)</f>
        <v>9500000</v>
      </c>
      <c r="M16" s="72">
        <f>VLOOKUP(I16,PAGO3,5,FALSE)</f>
        <v>9500000</v>
      </c>
      <c r="O16" s="52" t="str">
        <f>VLOOKUP(I16,RANGOPAGOS5,7,FALSE)</f>
        <v>$ 9.500.000</v>
      </c>
      <c r="P16" s="52" t="str">
        <f>VLOOKUP(I16,RANGOPAGOS6,7,FALSE)</f>
        <v>$ 9.500.000,00</v>
      </c>
      <c r="Z16" s="72">
        <f t="shared" si="1"/>
        <v>25966667</v>
      </c>
    </row>
    <row r="17">
      <c r="A17" s="52" t="s">
        <v>30</v>
      </c>
      <c r="B17" s="52" t="s">
        <v>129</v>
      </c>
      <c r="C17" s="52" t="s">
        <v>32</v>
      </c>
      <c r="D17" s="52" t="s">
        <v>5911</v>
      </c>
      <c r="E17" s="52" t="s">
        <v>33</v>
      </c>
      <c r="F17" s="52" t="s">
        <v>130</v>
      </c>
      <c r="G17" s="52" t="s">
        <v>131</v>
      </c>
      <c r="H17" s="52" t="s">
        <v>132</v>
      </c>
      <c r="I17" s="52">
        <v>1.010244152E9</v>
      </c>
      <c r="J17" s="117">
        <v>8.008E7</v>
      </c>
      <c r="K17" s="72">
        <f>VLOOKUP(F17,PAGO1,7,FALSE)</f>
        <v>5096000</v>
      </c>
      <c r="L17" s="72">
        <f>VLOOKUP(I17,PAGO2,5,FALSE)</f>
        <v>7280000</v>
      </c>
      <c r="M17" s="72">
        <f>VLOOKUP(I17,PAGO3,5,FALSE)</f>
        <v>7280000</v>
      </c>
      <c r="O17" s="52" t="str">
        <f>VLOOKUP(I17,RANGOPAGOS5,7,FALSE)</f>
        <v>$ 7.280.000</v>
      </c>
      <c r="P17" s="52" t="str">
        <f>VLOOKUP(I17,RANGOPAGOS6,7,FALSE)</f>
        <v>$ 7.280.000,00</v>
      </c>
      <c r="Z17" s="72">
        <f t="shared" si="1"/>
        <v>19656000</v>
      </c>
    </row>
    <row r="18">
      <c r="A18" s="52" t="s">
        <v>30</v>
      </c>
      <c r="B18" s="52" t="s">
        <v>135</v>
      </c>
      <c r="C18" s="52" t="s">
        <v>32</v>
      </c>
      <c r="D18" s="52" t="s">
        <v>5912</v>
      </c>
      <c r="E18" s="52" t="s">
        <v>33</v>
      </c>
      <c r="F18" s="52" t="s">
        <v>136</v>
      </c>
      <c r="G18" s="52" t="s">
        <v>137</v>
      </c>
      <c r="H18" s="52" t="s">
        <v>2159</v>
      </c>
      <c r="I18" s="52">
        <v>1.022380851E9</v>
      </c>
      <c r="J18" s="117">
        <v>8.925E7</v>
      </c>
      <c r="K18" s="72">
        <f>VLOOKUP(F18,PAGO1,7,FALSE)</f>
        <v>5950000</v>
      </c>
      <c r="L18" s="52" t="str">
        <f>VLOOKUP(I18,PAGO2,5,FALSE)</f>
        <v>#N/A</v>
      </c>
      <c r="M18" s="52" t="str">
        <f>VLOOKUP(I18,PAGO3,5,FALSE)</f>
        <v>#N/A</v>
      </c>
      <c r="O18" s="52" t="str">
        <f>VLOOKUP(I18,RANGOPAGOS5,7,FALSE)</f>
        <v>#N/A</v>
      </c>
      <c r="P18" s="52" t="str">
        <f>VLOOKUP(I18,RANGOPAGOS6,7,FALSE)</f>
        <v>#N/A</v>
      </c>
      <c r="Z18" s="52" t="str">
        <f t="shared" si="1"/>
        <v>#N/A</v>
      </c>
    </row>
    <row r="19">
      <c r="A19" s="52" t="s">
        <v>30</v>
      </c>
      <c r="B19" s="52" t="s">
        <v>141</v>
      </c>
      <c r="C19" s="52" t="s">
        <v>32</v>
      </c>
      <c r="D19" s="52" t="s">
        <v>5913</v>
      </c>
      <c r="E19" s="52" t="s">
        <v>33</v>
      </c>
      <c r="F19" s="52" t="s">
        <v>142</v>
      </c>
      <c r="G19" s="52" t="s">
        <v>143</v>
      </c>
      <c r="H19" s="52" t="s">
        <v>144</v>
      </c>
      <c r="I19" s="52">
        <v>5.2215231E7</v>
      </c>
      <c r="J19" s="117">
        <v>2.974784E7</v>
      </c>
      <c r="K19" s="72">
        <f>VLOOKUP(F19,PAGO1,7,FALSE)</f>
        <v>4214277</v>
      </c>
      <c r="L19" s="72">
        <f>VLOOKUP(I19,PAGO2,5,FALSE)</f>
        <v>7436960</v>
      </c>
      <c r="M19" s="72">
        <f>VLOOKUP(I19,PAGO3,5,FALSE)</f>
        <v>7436960</v>
      </c>
      <c r="O19" s="52" t="str">
        <f>VLOOKUP(I19,RANGOPAGOS5,7,FALSE)</f>
        <v>$ 7.436.960</v>
      </c>
      <c r="P19" s="52" t="str">
        <f>VLOOKUP(I19,RANGOPAGOS6,7,FALSE)</f>
        <v>$ 2.726.885,00</v>
      </c>
      <c r="Z19" s="72">
        <f t="shared" si="1"/>
        <v>19088197</v>
      </c>
    </row>
    <row r="20">
      <c r="A20" s="52" t="s">
        <v>30</v>
      </c>
      <c r="B20" s="52" t="s">
        <v>148</v>
      </c>
      <c r="C20" s="52" t="s">
        <v>32</v>
      </c>
      <c r="D20" s="52" t="s">
        <v>5914</v>
      </c>
      <c r="E20" s="52" t="s">
        <v>33</v>
      </c>
      <c r="F20" s="52" t="s">
        <v>5915</v>
      </c>
      <c r="G20" s="52" t="s">
        <v>150</v>
      </c>
      <c r="H20" s="52" t="s">
        <v>151</v>
      </c>
      <c r="I20" s="52">
        <v>1.033684312E9</v>
      </c>
      <c r="J20" s="117">
        <v>1.05270165E8</v>
      </c>
      <c r="K20" s="52" t="str">
        <f>VLOOKUP(F20,PAGO1,7,FALSE)</f>
        <v>#N/A</v>
      </c>
      <c r="L20" s="72">
        <f>VLOOKUP(I20,PAGO2,5,FALSE)</f>
        <v>8997450</v>
      </c>
      <c r="M20" s="72">
        <f>VLOOKUP(I20,PAGO3,5,FALSE)</f>
        <v>8997450</v>
      </c>
      <c r="O20" s="52" t="str">
        <f>VLOOKUP(I20,RANGOPAGOS5,7,FALSE)</f>
        <v>$ 8.997.450</v>
      </c>
      <c r="P20" s="52" t="str">
        <f>VLOOKUP(I20,RANGOPAGOS6,7,FALSE)</f>
        <v>$ 8.997.450,00</v>
      </c>
      <c r="Z20" s="52" t="str">
        <f t="shared" si="1"/>
        <v>#N/A</v>
      </c>
    </row>
    <row r="21">
      <c r="A21" s="52" t="s">
        <v>30</v>
      </c>
      <c r="B21" s="52" t="s">
        <v>155</v>
      </c>
      <c r="C21" s="52" t="s">
        <v>32</v>
      </c>
      <c r="D21" s="52" t="s">
        <v>5916</v>
      </c>
      <c r="E21" s="52" t="s">
        <v>33</v>
      </c>
      <c r="F21" s="52" t="s">
        <v>156</v>
      </c>
      <c r="G21" s="52" t="s">
        <v>157</v>
      </c>
      <c r="H21" s="52" t="s">
        <v>158</v>
      </c>
      <c r="I21" s="52">
        <v>8.0076408E7</v>
      </c>
      <c r="J21" s="117">
        <v>2.6E7</v>
      </c>
      <c r="K21" s="72">
        <f>VLOOKUP(F21,PAGO1,7,FALSE)</f>
        <v>7800000</v>
      </c>
      <c r="L21" s="72">
        <f>VLOOKUP(I21,PAGO2,5,FALSE)</f>
        <v>13000000</v>
      </c>
      <c r="M21" s="52" t="str">
        <f>VLOOKUP(I21,PAGO3,5,FALSE)</f>
        <v>#N/A</v>
      </c>
      <c r="O21" s="52" t="str">
        <f>VLOOKUP(I21,RANGOPAGOS5,7,FALSE)</f>
        <v>$ 5.200.000</v>
      </c>
      <c r="P21" s="52" t="str">
        <f>VLOOKUP(I21,RANGOPAGOS6,7,FALSE)</f>
        <v>#N/A</v>
      </c>
      <c r="Z21" s="52" t="str">
        <f t="shared" si="1"/>
        <v>#N/A</v>
      </c>
    </row>
    <row r="22">
      <c r="A22" s="52" t="s">
        <v>30</v>
      </c>
      <c r="B22" s="52" t="s">
        <v>159</v>
      </c>
      <c r="C22" s="52" t="s">
        <v>32</v>
      </c>
      <c r="D22" s="52" t="s">
        <v>5917</v>
      </c>
      <c r="E22" s="52" t="s">
        <v>33</v>
      </c>
      <c r="F22" s="52" t="s">
        <v>160</v>
      </c>
      <c r="G22" s="52" t="s">
        <v>161</v>
      </c>
      <c r="H22" s="52" t="s">
        <v>162</v>
      </c>
      <c r="I22" s="52">
        <v>1.018456896E9</v>
      </c>
      <c r="J22" s="117">
        <v>9.815E7</v>
      </c>
      <c r="K22" s="52" t="str">
        <f>VLOOKUP(F22,PAGO1,7,FALSE)</f>
        <v>#N/A</v>
      </c>
      <c r="L22" s="72">
        <f>VLOOKUP(I22,PAGO2,5,FALSE)</f>
        <v>8650000</v>
      </c>
      <c r="M22" s="72">
        <f>VLOOKUP(I22,PAGO3,5,FALSE)</f>
        <v>8650000</v>
      </c>
      <c r="O22" s="52" t="str">
        <f>VLOOKUP(I22,RANGOPAGOS5,7,FALSE)</f>
        <v>$ 8.650.000</v>
      </c>
      <c r="P22" s="52" t="str">
        <f>VLOOKUP(I22,RANGOPAGOS6,7,FALSE)</f>
        <v>$ 8.855.216,00</v>
      </c>
      <c r="Z22" s="52" t="str">
        <f t="shared" si="1"/>
        <v>#N/A</v>
      </c>
    </row>
    <row r="23">
      <c r="A23" s="52" t="s">
        <v>30</v>
      </c>
      <c r="B23" s="52" t="s">
        <v>166</v>
      </c>
      <c r="C23" s="52" t="s">
        <v>32</v>
      </c>
      <c r="D23" s="52" t="s">
        <v>5918</v>
      </c>
      <c r="E23" s="52" t="s">
        <v>33</v>
      </c>
      <c r="F23" s="52" t="s">
        <v>167</v>
      </c>
      <c r="G23" s="52" t="s">
        <v>168</v>
      </c>
      <c r="H23" s="52" t="s">
        <v>169</v>
      </c>
      <c r="I23" s="52">
        <v>1.026586964E9</v>
      </c>
      <c r="J23" s="117">
        <v>4.81173E7</v>
      </c>
      <c r="K23" s="72">
        <f>VLOOKUP(F23,PAGO1,7,FALSE)</f>
        <v>3062010</v>
      </c>
      <c r="L23" s="72">
        <f>VLOOKUP(I23,PAGO2,5,FALSE)</f>
        <v>4374300</v>
      </c>
      <c r="M23" s="72">
        <f>VLOOKUP(I23,PAGO3,5,FALSE)</f>
        <v>4374300</v>
      </c>
      <c r="O23" s="52" t="str">
        <f>VLOOKUP(I23,RANGOPAGOS5,7,FALSE)</f>
        <v>$ 4.374.300</v>
      </c>
      <c r="P23" s="52" t="str">
        <f>VLOOKUP(I23,RANGOPAGOS6,7,FALSE)</f>
        <v>$ 4.374.300,00</v>
      </c>
      <c r="Z23" s="72">
        <f t="shared" si="1"/>
        <v>11810610</v>
      </c>
    </row>
    <row r="24">
      <c r="A24" s="52" t="s">
        <v>30</v>
      </c>
      <c r="B24" s="52" t="s">
        <v>171</v>
      </c>
      <c r="C24" s="52" t="s">
        <v>32</v>
      </c>
      <c r="D24" s="52" t="s">
        <v>5919</v>
      </c>
      <c r="E24" s="52" t="s">
        <v>33</v>
      </c>
      <c r="F24" s="52" t="s">
        <v>172</v>
      </c>
      <c r="G24" s="52" t="s">
        <v>173</v>
      </c>
      <c r="H24" s="52" t="s">
        <v>174</v>
      </c>
      <c r="I24" s="52">
        <v>1.014288171E9</v>
      </c>
      <c r="J24" s="117">
        <v>1.035E8</v>
      </c>
      <c r="K24" s="72">
        <f>VLOOKUP(F24,PAGO1,7,FALSE)</f>
        <v>6300000</v>
      </c>
      <c r="L24" s="72">
        <f>VLOOKUP(I24,PAGO2,5,FALSE)</f>
        <v>9000000</v>
      </c>
      <c r="M24" s="72">
        <f>VLOOKUP(I24,PAGO3,5,FALSE)</f>
        <v>9000000</v>
      </c>
      <c r="O24" s="52" t="str">
        <f>VLOOKUP(I24,RANGOPAGOS5,7,FALSE)</f>
        <v>$ 9.000.000</v>
      </c>
      <c r="P24" s="52" t="str">
        <f>VLOOKUP(I24,RANGOPAGOS6,7,FALSE)</f>
        <v>$ 9.000.000,00</v>
      </c>
      <c r="Z24" s="72">
        <f t="shared" si="1"/>
        <v>24300000</v>
      </c>
    </row>
    <row r="25">
      <c r="A25" s="52" t="s">
        <v>30</v>
      </c>
      <c r="B25" s="52" t="s">
        <v>177</v>
      </c>
      <c r="C25" s="52" t="s">
        <v>32</v>
      </c>
      <c r="D25" s="52" t="s">
        <v>5920</v>
      </c>
      <c r="E25" s="52" t="s">
        <v>33</v>
      </c>
      <c r="F25" s="52" t="s">
        <v>178</v>
      </c>
      <c r="G25" s="52" t="s">
        <v>179</v>
      </c>
      <c r="H25" s="52" t="s">
        <v>180</v>
      </c>
      <c r="I25" s="52">
        <v>5.3040784E7</v>
      </c>
      <c r="J25" s="117">
        <v>1.0248225E8</v>
      </c>
      <c r="K25" s="72">
        <f>VLOOKUP(F25,PAGO1,7,FALSE)</f>
        <v>6238050</v>
      </c>
      <c r="L25" s="72">
        <f>VLOOKUP(I25,PAGO2,5,FALSE)</f>
        <v>8911500</v>
      </c>
      <c r="M25" s="72">
        <f>VLOOKUP(I25,PAGO3,5,FALSE)</f>
        <v>8911500</v>
      </c>
      <c r="O25" s="52" t="str">
        <f>VLOOKUP(I25,RANGOPAGOS5,7,FALSE)</f>
        <v>$ 8.911.500</v>
      </c>
      <c r="P25" s="52" t="str">
        <f>VLOOKUP(I25,RANGOPAGOS6,7,FALSE)</f>
        <v>$ 8.911.500,00</v>
      </c>
      <c r="Z25" s="72">
        <f t="shared" si="1"/>
        <v>24061050</v>
      </c>
    </row>
    <row r="26">
      <c r="A26" s="52" t="s">
        <v>30</v>
      </c>
      <c r="B26" s="52" t="s">
        <v>183</v>
      </c>
      <c r="C26" s="52" t="s">
        <v>32</v>
      </c>
      <c r="D26" s="52" t="s">
        <v>5921</v>
      </c>
      <c r="E26" s="52" t="s">
        <v>33</v>
      </c>
      <c r="F26" s="52" t="s">
        <v>184</v>
      </c>
      <c r="G26" s="52" t="s">
        <v>185</v>
      </c>
      <c r="H26" s="52" t="s">
        <v>186</v>
      </c>
      <c r="I26" s="52">
        <v>1.024471867E9</v>
      </c>
      <c r="J26" s="117">
        <v>1.0248225E8</v>
      </c>
      <c r="K26" s="72">
        <f>VLOOKUP(F26,PAGO1,7,FALSE)</f>
        <v>6238050</v>
      </c>
      <c r="L26" s="72">
        <f>VLOOKUP(I26,PAGO2,5,FALSE)</f>
        <v>8911500</v>
      </c>
      <c r="M26" s="72">
        <f>VLOOKUP(I26,PAGO3,5,FALSE)</f>
        <v>8911500</v>
      </c>
      <c r="O26" s="52" t="str">
        <f>VLOOKUP(I26,RANGOPAGOS5,7,FALSE)</f>
        <v>$ 8.911.500</v>
      </c>
      <c r="P26" s="52" t="str">
        <f>VLOOKUP(I26,RANGOPAGOS6,7,FALSE)</f>
        <v>$ 8.911.500,00</v>
      </c>
      <c r="Z26" s="72">
        <f t="shared" si="1"/>
        <v>24061050</v>
      </c>
    </row>
    <row r="27">
      <c r="A27" s="52" t="s">
        <v>30</v>
      </c>
      <c r="B27" s="52" t="s">
        <v>199</v>
      </c>
      <c r="C27" s="52" t="s">
        <v>32</v>
      </c>
      <c r="D27" s="52" t="s">
        <v>5922</v>
      </c>
      <c r="E27" s="52" t="s">
        <v>33</v>
      </c>
      <c r="F27" s="52" t="s">
        <v>200</v>
      </c>
      <c r="G27" s="52" t="s">
        <v>201</v>
      </c>
      <c r="H27" s="52" t="s">
        <v>202</v>
      </c>
      <c r="I27" s="52">
        <v>1.013617963E9</v>
      </c>
      <c r="J27" s="117">
        <v>1.15E8</v>
      </c>
      <c r="K27" s="72">
        <f>VLOOKUP(F27,PAGO1,7,FALSE)</f>
        <v>7000000</v>
      </c>
      <c r="L27" s="72">
        <f>VLOOKUP(I27,PAGO2,5,FALSE)</f>
        <v>10000000</v>
      </c>
      <c r="M27" s="72">
        <f>VLOOKUP(I27,PAGO3,5,FALSE)</f>
        <v>10000000</v>
      </c>
      <c r="O27" s="52" t="str">
        <f>VLOOKUP(I27,RANGOPAGOS5,7,FALSE)</f>
        <v>$ 10.000.000</v>
      </c>
      <c r="P27" s="52" t="str">
        <f>VLOOKUP(I27,RANGOPAGOS6,7,FALSE)</f>
        <v>$ 10.000.000,00</v>
      </c>
      <c r="Z27" s="72">
        <f t="shared" si="1"/>
        <v>27000000</v>
      </c>
    </row>
    <row r="28">
      <c r="A28" s="52" t="s">
        <v>30</v>
      </c>
      <c r="B28" s="52" t="s">
        <v>206</v>
      </c>
      <c r="C28" s="52" t="s">
        <v>32</v>
      </c>
      <c r="D28" s="52" t="s">
        <v>5923</v>
      </c>
      <c r="E28" s="52" t="s">
        <v>33</v>
      </c>
      <c r="F28" s="52" t="s">
        <v>207</v>
      </c>
      <c r="G28" s="52" t="s">
        <v>208</v>
      </c>
      <c r="H28" s="52" t="s">
        <v>209</v>
      </c>
      <c r="I28" s="52">
        <v>1.030634246E9</v>
      </c>
      <c r="J28" s="117">
        <v>1.265E8</v>
      </c>
      <c r="K28" s="72">
        <f>VLOOKUP(F28,PAGO1,7,FALSE)</f>
        <v>6600000</v>
      </c>
      <c r="L28" s="72">
        <f>VLOOKUP(I28,PAGO2,5,FALSE)</f>
        <v>11000000</v>
      </c>
      <c r="M28" s="72">
        <f>VLOOKUP(I28,PAGO3,5,FALSE)</f>
        <v>11000000</v>
      </c>
      <c r="O28" s="52" t="str">
        <f>VLOOKUP(I28,RANGOPAGOS5,7,FALSE)</f>
        <v>$ 11.000.000</v>
      </c>
      <c r="P28" s="52" t="str">
        <f>VLOOKUP(I28,RANGOPAGOS6,7,FALSE)</f>
        <v>$ 11.000.000,00</v>
      </c>
      <c r="Z28" s="72">
        <f t="shared" si="1"/>
        <v>28600000</v>
      </c>
    </row>
    <row r="29">
      <c r="A29" s="52" t="s">
        <v>30</v>
      </c>
      <c r="B29" s="52" t="s">
        <v>212</v>
      </c>
      <c r="C29" s="52" t="s">
        <v>32</v>
      </c>
      <c r="D29" s="52" t="s">
        <v>5924</v>
      </c>
      <c r="E29" s="52" t="s">
        <v>33</v>
      </c>
      <c r="F29" s="52" t="s">
        <v>213</v>
      </c>
      <c r="G29" s="52" t="s">
        <v>214</v>
      </c>
      <c r="H29" s="52" t="s">
        <v>2240</v>
      </c>
      <c r="I29" s="52">
        <v>1.193447899E9</v>
      </c>
      <c r="J29" s="117">
        <v>3.613995E7</v>
      </c>
      <c r="K29" s="52" t="str">
        <f>VLOOKUP(F29,PAGO1,7,FALSE)</f>
        <v>#N/A</v>
      </c>
      <c r="L29" s="72">
        <f>VLOOKUP(I29,PAGO2,5,FALSE)</f>
        <v>3285450</v>
      </c>
      <c r="M29" s="72">
        <f>VLOOKUP(I29,PAGO3,5,FALSE)</f>
        <v>3285450</v>
      </c>
      <c r="O29" s="52" t="str">
        <f>VLOOKUP(I29,RANGOPAGOS5,7,FALSE)</f>
        <v>$ 1.095.150</v>
      </c>
      <c r="P29" s="52" t="str">
        <f>VLOOKUP(I29,RANGOPAGOS6,7,FALSE)</f>
        <v>$ 3.794.700,00</v>
      </c>
      <c r="Z29" s="52" t="str">
        <f t="shared" si="1"/>
        <v>#N/A</v>
      </c>
    </row>
    <row r="30">
      <c r="A30" s="52" t="s">
        <v>30</v>
      </c>
      <c r="B30" s="52" t="s">
        <v>218</v>
      </c>
      <c r="C30" s="52" t="s">
        <v>32</v>
      </c>
      <c r="D30" s="52" t="s">
        <v>5925</v>
      </c>
      <c r="E30" s="52" t="s">
        <v>33</v>
      </c>
      <c r="F30" s="52" t="s">
        <v>219</v>
      </c>
      <c r="G30" s="52" t="s">
        <v>220</v>
      </c>
      <c r="H30" s="52" t="s">
        <v>221</v>
      </c>
      <c r="I30" s="52">
        <v>1.130601351E9</v>
      </c>
      <c r="J30" s="117">
        <v>8.0E7</v>
      </c>
      <c r="K30" s="72">
        <f>VLOOKUP(F30,PAGO1,7,FALSE)</f>
        <v>4533333</v>
      </c>
      <c r="L30" s="72">
        <f>VLOOKUP(I30,PAGO2,5,FALSE)</f>
        <v>8000000</v>
      </c>
      <c r="M30" s="72">
        <f>VLOOKUP(I30,PAGO3,5,FALSE)</f>
        <v>8000000</v>
      </c>
      <c r="O30" s="52" t="str">
        <f>VLOOKUP(I30,RANGOPAGOS5,7,FALSE)</f>
        <v>$ 8.000.000</v>
      </c>
      <c r="P30" s="52" t="str">
        <f>VLOOKUP(I30,RANGOPAGOS6,7,FALSE)</f>
        <v>$ 8.000.000,00</v>
      </c>
      <c r="Z30" s="72">
        <f t="shared" si="1"/>
        <v>20533333</v>
      </c>
    </row>
    <row r="31">
      <c r="A31" s="52" t="s">
        <v>30</v>
      </c>
      <c r="B31" s="52" t="s">
        <v>224</v>
      </c>
      <c r="C31" s="52" t="s">
        <v>32</v>
      </c>
      <c r="D31" s="52" t="s">
        <v>5926</v>
      </c>
      <c r="E31" s="52" t="s">
        <v>33</v>
      </c>
      <c r="F31" s="52" t="s">
        <v>225</v>
      </c>
      <c r="G31" s="52" t="s">
        <v>226</v>
      </c>
      <c r="H31" s="52" t="s">
        <v>227</v>
      </c>
      <c r="I31" s="52">
        <v>1.073512831E9</v>
      </c>
      <c r="J31" s="117">
        <v>9.85435E7</v>
      </c>
      <c r="K31" s="72">
        <f>VLOOKUP(F31,PAGO1,7,FALSE)</f>
        <v>5141400</v>
      </c>
      <c r="L31" s="72">
        <f>VLOOKUP(I31,PAGO2,5,FALSE)</f>
        <v>8569000</v>
      </c>
      <c r="M31" s="72">
        <f>VLOOKUP(I31,PAGO3,5,FALSE)</f>
        <v>8569000</v>
      </c>
      <c r="O31" s="52" t="str">
        <f>VLOOKUP(I31,RANGOPAGOS5,7,FALSE)</f>
        <v>$ 8.569.000</v>
      </c>
      <c r="P31" s="52" t="str">
        <f>VLOOKUP(I31,RANGOPAGOS6,7,FALSE)</f>
        <v>$ 8.569.000,00</v>
      </c>
      <c r="Z31" s="72">
        <f t="shared" si="1"/>
        <v>22279400</v>
      </c>
    </row>
    <row r="32">
      <c r="A32" s="52" t="s">
        <v>30</v>
      </c>
      <c r="B32" s="52" t="s">
        <v>231</v>
      </c>
      <c r="C32" s="52" t="s">
        <v>32</v>
      </c>
      <c r="D32" s="52" t="s">
        <v>5927</v>
      </c>
      <c r="E32" s="52" t="s">
        <v>33</v>
      </c>
      <c r="F32" s="52" t="s">
        <v>232</v>
      </c>
      <c r="G32" s="52" t="s">
        <v>233</v>
      </c>
      <c r="H32" s="52" t="s">
        <v>234</v>
      </c>
      <c r="I32" s="52">
        <v>5.246763E7</v>
      </c>
      <c r="J32" s="117">
        <v>7.3668E7</v>
      </c>
      <c r="K32" s="72">
        <f>VLOOKUP(F32,PAGO1,7,FALSE)</f>
        <v>4420080</v>
      </c>
      <c r="L32" s="72">
        <f>VLOOKUP(I32,PAGO2,5,FALSE)</f>
        <v>7366800</v>
      </c>
      <c r="M32" s="72">
        <f>VLOOKUP(I32,PAGO3,5,FALSE)</f>
        <v>3192280</v>
      </c>
      <c r="O32" s="52" t="str">
        <f>VLOOKUP(I32,RANGOPAGOS5,7,FALSE)</f>
        <v>#N/A</v>
      </c>
      <c r="P32" s="52" t="str">
        <f>VLOOKUP(I32,RANGOPAGOS6,7,FALSE)</f>
        <v>#N/A</v>
      </c>
      <c r="Z32" s="52" t="str">
        <f t="shared" si="1"/>
        <v>#N/A</v>
      </c>
    </row>
    <row r="33">
      <c r="A33" s="52" t="s">
        <v>30</v>
      </c>
      <c r="B33" s="52" t="s">
        <v>237</v>
      </c>
      <c r="C33" s="52" t="s">
        <v>32</v>
      </c>
      <c r="D33" s="52" t="s">
        <v>5928</v>
      </c>
      <c r="E33" s="52" t="s">
        <v>33</v>
      </c>
      <c r="F33" s="52" t="s">
        <v>238</v>
      </c>
      <c r="G33" s="52" t="s">
        <v>239</v>
      </c>
      <c r="H33" s="52" t="s">
        <v>240</v>
      </c>
      <c r="I33" s="52">
        <v>9.1251483E7</v>
      </c>
      <c r="J33" s="117">
        <v>4.42008E7</v>
      </c>
      <c r="K33" s="72">
        <f>VLOOKUP(F33,PAGO1,7,FALSE)</f>
        <v>5156760</v>
      </c>
      <c r="L33" s="72">
        <f>VLOOKUP(I33,PAGO2,5,FALSE)</f>
        <v>7366800</v>
      </c>
      <c r="M33" s="72">
        <f>VLOOKUP(I33,PAGO3,5,FALSE)</f>
        <v>7366800</v>
      </c>
      <c r="O33" s="52" t="str">
        <f>VLOOKUP(I33,RANGOPAGOS5,7,FALSE)</f>
        <v>$ 7.366.800</v>
      </c>
      <c r="P33" s="52" t="str">
        <f>VLOOKUP(I33,RANGOPAGOS6,7,FALSE)</f>
        <v>$ 7.366.800,00</v>
      </c>
      <c r="Z33" s="72">
        <f t="shared" si="1"/>
        <v>19890360</v>
      </c>
    </row>
    <row r="34">
      <c r="A34" s="52" t="s">
        <v>30</v>
      </c>
      <c r="B34" s="52" t="s">
        <v>243</v>
      </c>
      <c r="C34" s="52" t="s">
        <v>32</v>
      </c>
      <c r="D34" s="52" t="s">
        <v>5929</v>
      </c>
      <c r="E34" s="52" t="s">
        <v>33</v>
      </c>
      <c r="F34" s="52" t="s">
        <v>244</v>
      </c>
      <c r="G34" s="52" t="s">
        <v>245</v>
      </c>
      <c r="H34" s="52" t="s">
        <v>246</v>
      </c>
      <c r="I34" s="52">
        <v>2.8061081E7</v>
      </c>
      <c r="J34" s="117">
        <v>1.4012988E8</v>
      </c>
      <c r="K34" s="72">
        <f>VLOOKUP(F34,PAGO1,7,FALSE)</f>
        <v>7218812</v>
      </c>
      <c r="L34" s="72">
        <f>VLOOKUP(I34,PAGO2,5,FALSE)</f>
        <v>12739080</v>
      </c>
      <c r="M34" s="72">
        <f>VLOOKUP(I34,PAGO3,5,FALSE)</f>
        <v>12739080</v>
      </c>
      <c r="O34" s="52" t="str">
        <f>VLOOKUP(I34,RANGOPAGOS5,7,FALSE)</f>
        <v>$ 12.739.080</v>
      </c>
      <c r="P34" s="52" t="str">
        <f>VLOOKUP(I34,RANGOPAGOS6,7,FALSE)</f>
        <v>$ 12.739.080,00</v>
      </c>
      <c r="Z34" s="72">
        <f t="shared" si="1"/>
        <v>32696972</v>
      </c>
    </row>
    <row r="35">
      <c r="A35" s="52" t="s">
        <v>30</v>
      </c>
      <c r="B35" s="52" t="s">
        <v>247</v>
      </c>
      <c r="C35" s="52" t="s">
        <v>32</v>
      </c>
      <c r="D35" s="52" t="s">
        <v>5930</v>
      </c>
      <c r="E35" s="52" t="s">
        <v>248</v>
      </c>
      <c r="F35" s="52" t="s">
        <v>249</v>
      </c>
      <c r="G35" s="52" t="s">
        <v>250</v>
      </c>
      <c r="H35" s="52" t="s">
        <v>251</v>
      </c>
      <c r="I35" s="52">
        <v>1.006772235E9</v>
      </c>
      <c r="J35" s="117">
        <v>2.83452E7</v>
      </c>
      <c r="K35" s="72">
        <f>VLOOKUP(F35,PAGO1,7,FALSE)</f>
        <v>1396720</v>
      </c>
      <c r="L35" s="72">
        <f>VLOOKUP(I35,PAGO2,5,FALSE)</f>
        <v>2464800</v>
      </c>
      <c r="M35" s="72">
        <f>VLOOKUP(I35,PAGO3,5,FALSE)</f>
        <v>2464800</v>
      </c>
      <c r="O35" s="52" t="str">
        <f>VLOOKUP(I35,RANGOPAGOS5,7,FALSE)</f>
        <v>$ 2.464.800</v>
      </c>
      <c r="P35" s="52" t="str">
        <f>VLOOKUP(I35,RANGOPAGOS6,7,FALSE)</f>
        <v>$ 2.464.800,00</v>
      </c>
      <c r="Z35" s="72">
        <f t="shared" si="1"/>
        <v>6326320</v>
      </c>
    </row>
    <row r="36">
      <c r="A36" s="52" t="s">
        <v>30</v>
      </c>
      <c r="B36" s="52" t="s">
        <v>253</v>
      </c>
      <c r="C36" s="52" t="s">
        <v>32</v>
      </c>
      <c r="D36" s="52" t="s">
        <v>5931</v>
      </c>
      <c r="E36" s="52" t="s">
        <v>33</v>
      </c>
      <c r="F36" s="52" t="s">
        <v>254</v>
      </c>
      <c r="G36" s="52" t="s">
        <v>255</v>
      </c>
      <c r="H36" s="52" t="s">
        <v>256</v>
      </c>
      <c r="I36" s="52">
        <v>1.018492802E9</v>
      </c>
      <c r="J36" s="117">
        <v>1.1023325E8</v>
      </c>
      <c r="K36" s="72">
        <f>VLOOKUP(F36,PAGO1,7,FALSE)</f>
        <v>5431783</v>
      </c>
      <c r="L36" s="72">
        <f>VLOOKUP(I36,PAGO2,5,FALSE)</f>
        <v>9585500</v>
      </c>
      <c r="M36" s="72">
        <f>VLOOKUP(I36,PAGO3,5,FALSE)</f>
        <v>9585500</v>
      </c>
      <c r="O36" s="52" t="str">
        <f>VLOOKUP(I36,RANGOPAGOS5,7,FALSE)</f>
        <v>$ 9.585.500</v>
      </c>
      <c r="P36" s="52" t="str">
        <f>VLOOKUP(I36,RANGOPAGOS6,7,FALSE)</f>
        <v>$ 9.585.500,00</v>
      </c>
      <c r="Z36" s="72">
        <f t="shared" si="1"/>
        <v>24602783</v>
      </c>
    </row>
    <row r="37">
      <c r="A37" s="52" t="s">
        <v>30</v>
      </c>
      <c r="B37" s="52" t="s">
        <v>259</v>
      </c>
      <c r="C37" s="52" t="s">
        <v>32</v>
      </c>
      <c r="D37" s="52" t="s">
        <v>5932</v>
      </c>
      <c r="E37" s="52" t="s">
        <v>248</v>
      </c>
      <c r="F37" s="52" t="s">
        <v>260</v>
      </c>
      <c r="G37" s="52" t="s">
        <v>261</v>
      </c>
      <c r="H37" s="52" t="s">
        <v>262</v>
      </c>
      <c r="I37" s="52">
        <v>1.070924443E9</v>
      </c>
      <c r="J37" s="117">
        <v>2.8588E7</v>
      </c>
      <c r="K37" s="72">
        <f>VLOOKUP(F37,PAGO1,7,FALSE)</f>
        <v>2450400</v>
      </c>
      <c r="L37" s="72">
        <f>VLOOKUP(I37,PAGO2,5,FALSE)</f>
        <v>4084000</v>
      </c>
      <c r="M37" s="72">
        <f>VLOOKUP(I37,PAGO3,5,FALSE)</f>
        <v>4084000</v>
      </c>
      <c r="O37" s="52" t="str">
        <f>VLOOKUP(I37,RANGOPAGOS5,7,FALSE)</f>
        <v>$ 4.084.000</v>
      </c>
      <c r="P37" s="52" t="str">
        <f>VLOOKUP(I37,RANGOPAGOS6,7,FALSE)</f>
        <v>$ 4.084.000,00</v>
      </c>
      <c r="Z37" s="72">
        <f t="shared" si="1"/>
        <v>10618400</v>
      </c>
    </row>
    <row r="38">
      <c r="A38" s="52" t="s">
        <v>30</v>
      </c>
      <c r="B38" s="52" t="s">
        <v>264</v>
      </c>
      <c r="C38" s="52" t="s">
        <v>32</v>
      </c>
      <c r="D38" s="52" t="s">
        <v>5933</v>
      </c>
      <c r="E38" s="52" t="s">
        <v>33</v>
      </c>
      <c r="F38" s="52" t="s">
        <v>265</v>
      </c>
      <c r="G38" s="52" t="s">
        <v>266</v>
      </c>
      <c r="H38" s="52" t="s">
        <v>267</v>
      </c>
      <c r="I38" s="52">
        <v>9.00196555E8</v>
      </c>
      <c r="J38" s="118" t="s">
        <v>1557</v>
      </c>
      <c r="K38" s="72">
        <f>VLOOKUP(F38,PAGO1,7,FALSE)</f>
        <v>1623989.43</v>
      </c>
      <c r="L38" s="72">
        <f>VLOOKUP(I38,PAGO2,5,FALSE)</f>
        <v>4429066</v>
      </c>
      <c r="M38" s="72">
        <f>VLOOKUP(I38,PAGO3,5,FALSE)</f>
        <v>4429066</v>
      </c>
      <c r="O38" s="52" t="str">
        <f>VLOOKUP(I38,RANGOPAGOS5,7,FALSE)</f>
        <v>$ 9.449.066</v>
      </c>
      <c r="P38" s="52" t="str">
        <f>VLOOKUP(I38,RANGOPAGOS6,7,FALSE)</f>
        <v>$ 4.429.066,00</v>
      </c>
      <c r="Z38" s="72">
        <f t="shared" si="1"/>
        <v>10482121.43</v>
      </c>
    </row>
    <row r="39">
      <c r="A39" s="52" t="s">
        <v>30</v>
      </c>
      <c r="B39" s="52" t="s">
        <v>270</v>
      </c>
      <c r="C39" s="52" t="s">
        <v>32</v>
      </c>
      <c r="D39" s="52" t="s">
        <v>5934</v>
      </c>
      <c r="E39" s="52" t="s">
        <v>33</v>
      </c>
      <c r="F39" s="52" t="s">
        <v>271</v>
      </c>
      <c r="G39" s="52" t="s">
        <v>272</v>
      </c>
      <c r="H39" s="52" t="s">
        <v>273</v>
      </c>
      <c r="I39" s="52">
        <v>1.110550504E9</v>
      </c>
      <c r="J39" s="117">
        <v>6.2434213E7</v>
      </c>
      <c r="K39" s="72">
        <f>VLOOKUP(F39,PAGO1,7,FALSE)</f>
        <v>2895499</v>
      </c>
      <c r="L39" s="72">
        <f>VLOOKUP(I39,PAGO2,5,FALSE)</f>
        <v>5429062</v>
      </c>
      <c r="M39" s="72">
        <f>VLOOKUP(I39,PAGO3,5,FALSE)</f>
        <v>5429062</v>
      </c>
      <c r="O39" s="52" t="str">
        <f>VLOOKUP(I39,RANGOPAGOS5,7,FALSE)</f>
        <v>$ 5.429.062</v>
      </c>
      <c r="P39" s="52" t="str">
        <f>VLOOKUP(I39,RANGOPAGOS6,7,FALSE)</f>
        <v>$ 5.429.062,00</v>
      </c>
      <c r="Z39" s="72">
        <f t="shared" si="1"/>
        <v>13753623</v>
      </c>
    </row>
    <row r="40">
      <c r="A40" s="52" t="s">
        <v>30</v>
      </c>
      <c r="B40" s="52" t="s">
        <v>276</v>
      </c>
      <c r="C40" s="52" t="s">
        <v>32</v>
      </c>
      <c r="D40" s="52" t="s">
        <v>5935</v>
      </c>
      <c r="E40" s="52" t="s">
        <v>33</v>
      </c>
      <c r="F40" s="52" t="s">
        <v>2322</v>
      </c>
      <c r="G40" s="52" t="s">
        <v>278</v>
      </c>
      <c r="H40" s="52" t="s">
        <v>279</v>
      </c>
      <c r="I40" s="52">
        <v>367422.0</v>
      </c>
      <c r="J40" s="117">
        <v>8.1279263E7</v>
      </c>
      <c r="K40" s="52" t="str">
        <f>VLOOKUP(F40,PAGO1,7,FALSE)</f>
        <v>#N/A</v>
      </c>
      <c r="L40" s="72">
        <f>VLOOKUP(I40,PAGO2,5,FALSE)</f>
        <v>7067762</v>
      </c>
      <c r="M40" s="72">
        <f>VLOOKUP(I40,PAGO3,5,FALSE)</f>
        <v>7067762</v>
      </c>
      <c r="O40" s="52" t="str">
        <f>VLOOKUP(I40,RANGOPAGOS5,7,FALSE)</f>
        <v>$ 7.067.762</v>
      </c>
      <c r="P40" s="52" t="str">
        <f>VLOOKUP(I40,RANGOPAGOS6,7,FALSE)</f>
        <v>$ 7.067.762,00</v>
      </c>
      <c r="Z40" s="52" t="str">
        <f t="shared" si="1"/>
        <v>#N/A</v>
      </c>
    </row>
    <row r="41">
      <c r="A41" s="52" t="s">
        <v>30</v>
      </c>
      <c r="B41" s="52" t="s">
        <v>280</v>
      </c>
      <c r="C41" s="52" t="s">
        <v>32</v>
      </c>
      <c r="D41" s="52" t="s">
        <v>5936</v>
      </c>
      <c r="E41" s="52" t="s">
        <v>33</v>
      </c>
      <c r="F41" s="52" t="s">
        <v>281</v>
      </c>
      <c r="G41" s="52" t="s">
        <v>282</v>
      </c>
      <c r="H41" s="52" t="s">
        <v>283</v>
      </c>
      <c r="I41" s="52" t="s">
        <v>39</v>
      </c>
      <c r="J41" s="117">
        <v>7.0E7</v>
      </c>
      <c r="K41" s="72">
        <f>VLOOKUP(F41,PAGO1,7,FALSE)</f>
        <v>3733333</v>
      </c>
      <c r="L41" s="52" t="str">
        <f>VLOOKUP(I41,PAGO2,5,FALSE)</f>
        <v>#N/A</v>
      </c>
      <c r="M41" s="52" t="str">
        <f>VLOOKUP(I41,PAGO3,5,FALSE)</f>
        <v>#N/A</v>
      </c>
      <c r="O41" s="52" t="str">
        <f>VLOOKUP(I41,RANGOPAGOS5,7,FALSE)</f>
        <v>#N/A</v>
      </c>
      <c r="P41" s="52" t="str">
        <f>VLOOKUP(I41,RANGOPAGOS6,7,FALSE)</f>
        <v>#N/A</v>
      </c>
      <c r="Z41" s="52" t="str">
        <f t="shared" si="1"/>
        <v>#N/A</v>
      </c>
    </row>
    <row r="42">
      <c r="A42" s="52" t="s">
        <v>30</v>
      </c>
      <c r="B42" s="52" t="s">
        <v>285</v>
      </c>
      <c r="C42" s="52" t="s">
        <v>32</v>
      </c>
      <c r="D42" s="52" t="s">
        <v>5937</v>
      </c>
      <c r="E42" s="52" t="s">
        <v>33</v>
      </c>
      <c r="F42" s="52" t="s">
        <v>286</v>
      </c>
      <c r="G42" s="52" t="s">
        <v>287</v>
      </c>
      <c r="H42" s="52" t="s">
        <v>288</v>
      </c>
      <c r="I42" s="52">
        <v>1.019089253E9</v>
      </c>
      <c r="J42" s="117">
        <v>8.10348E7</v>
      </c>
      <c r="K42" s="52" t="str">
        <f>VLOOKUP(F42,PAGO1,7,FALSE)</f>
        <v>#N/A</v>
      </c>
      <c r="L42" s="72">
        <f>VLOOKUP(I42,PAGO2,5,FALSE)</f>
        <v>7366800</v>
      </c>
      <c r="M42" s="72">
        <f>VLOOKUP(I42,PAGO3,5,FALSE)</f>
        <v>7366800</v>
      </c>
      <c r="O42" s="52" t="str">
        <f>VLOOKUP(I42,RANGOPAGOS5,7,FALSE)</f>
        <v>$ 7.366.800</v>
      </c>
      <c r="P42" s="52" t="str">
        <f>VLOOKUP(I42,RANGOPAGOS6,7,FALSE)</f>
        <v>$ 7.366.800,00</v>
      </c>
      <c r="Z42" s="52" t="str">
        <f t="shared" si="1"/>
        <v>#N/A</v>
      </c>
    </row>
    <row r="43">
      <c r="A43" s="52" t="s">
        <v>30</v>
      </c>
      <c r="B43" s="52" t="s">
        <v>290</v>
      </c>
      <c r="C43" s="52" t="s">
        <v>32</v>
      </c>
      <c r="D43" s="52" t="s">
        <v>5938</v>
      </c>
      <c r="E43" s="52" t="s">
        <v>33</v>
      </c>
      <c r="F43" s="52" t="s">
        <v>291</v>
      </c>
      <c r="G43" s="52" t="s">
        <v>292</v>
      </c>
      <c r="H43" s="52" t="s">
        <v>293</v>
      </c>
      <c r="I43" s="52">
        <v>1.014183131E9</v>
      </c>
      <c r="J43" s="117">
        <v>9.13353E7</v>
      </c>
      <c r="K43" s="72">
        <f>VLOOKUP(F43,PAGO1,7,FALSE)</f>
        <v>4235840</v>
      </c>
      <c r="L43" s="72">
        <f>VLOOKUP(I43,PAGO2,5,FALSE)</f>
        <v>7942200</v>
      </c>
      <c r="M43" s="72">
        <f>VLOOKUP(I43,PAGO3,5,FALSE)</f>
        <v>7942200</v>
      </c>
      <c r="O43" s="52" t="str">
        <f>VLOOKUP(I43,RANGOPAGOS5,7,FALSE)</f>
        <v>$ 7.942.200</v>
      </c>
      <c r="P43" s="52" t="str">
        <f>VLOOKUP(I43,RANGOPAGOS6,7,FALSE)</f>
        <v>$ 7.942.200,00</v>
      </c>
      <c r="Z43" s="72">
        <f t="shared" si="1"/>
        <v>20120240</v>
      </c>
    </row>
    <row r="44">
      <c r="A44" s="52" t="s">
        <v>30</v>
      </c>
      <c r="B44" s="52" t="s">
        <v>295</v>
      </c>
      <c r="C44" s="52" t="s">
        <v>32</v>
      </c>
      <c r="D44" s="52" t="s">
        <v>5939</v>
      </c>
      <c r="E44" s="52" t="s">
        <v>33</v>
      </c>
      <c r="F44" s="52" t="s">
        <v>296</v>
      </c>
      <c r="G44" s="52" t="s">
        <v>297</v>
      </c>
      <c r="H44" s="52" t="s">
        <v>298</v>
      </c>
      <c r="I44" s="52">
        <v>1.004754082E9</v>
      </c>
      <c r="J44" s="117">
        <v>3.613995E7</v>
      </c>
      <c r="K44" s="72">
        <f>VLOOKUP(F44,PAGO1,7,FALSE)</f>
        <v>1752240</v>
      </c>
      <c r="L44" s="72">
        <f>VLOOKUP(I44,PAGO2,5,FALSE)</f>
        <v>3285450</v>
      </c>
      <c r="M44" s="72">
        <f>VLOOKUP(I44,PAGO3,5,FALSE)</f>
        <v>3285450</v>
      </c>
      <c r="O44" s="52" t="str">
        <f>VLOOKUP(I44,RANGOPAGOS5,7,FALSE)</f>
        <v>$ 3.285.450</v>
      </c>
      <c r="P44" s="52" t="str">
        <f>VLOOKUP(I44,RANGOPAGOS6,7,FALSE)</f>
        <v>$ 3.285.450,00</v>
      </c>
      <c r="Z44" s="72">
        <f t="shared" si="1"/>
        <v>8323140</v>
      </c>
    </row>
    <row r="45">
      <c r="A45" s="52" t="s">
        <v>30</v>
      </c>
      <c r="B45" s="52" t="s">
        <v>299</v>
      </c>
      <c r="C45" s="52" t="s">
        <v>32</v>
      </c>
      <c r="D45" s="52" t="s">
        <v>5940</v>
      </c>
      <c r="E45" s="52" t="s">
        <v>33</v>
      </c>
      <c r="F45" s="52" t="s">
        <v>300</v>
      </c>
      <c r="G45" s="52" t="s">
        <v>301</v>
      </c>
      <c r="H45" s="52" t="s">
        <v>302</v>
      </c>
      <c r="I45" s="52">
        <v>1.052408723E9</v>
      </c>
      <c r="J45" s="117">
        <v>4.98525E7</v>
      </c>
      <c r="K45" s="72">
        <f>VLOOKUP(F45,PAGO1,7,FALSE)</f>
        <v>2023000</v>
      </c>
      <c r="L45" s="72">
        <f>VLOOKUP(I45,PAGO2,5,FALSE)</f>
        <v>4335000</v>
      </c>
      <c r="M45" s="72">
        <f>VLOOKUP(I45,PAGO3,5,FALSE)</f>
        <v>4335000</v>
      </c>
      <c r="O45" s="52" t="str">
        <f>VLOOKUP(I45,RANGOPAGOS5,7,FALSE)</f>
        <v>$ 4.335.000</v>
      </c>
      <c r="P45" s="52" t="str">
        <f>VLOOKUP(I45,RANGOPAGOS6,7,FALSE)</f>
        <v>$ 4.335.000,00</v>
      </c>
      <c r="Z45" s="72">
        <f t="shared" si="1"/>
        <v>10693000</v>
      </c>
    </row>
    <row r="46">
      <c r="A46" s="52" t="s">
        <v>30</v>
      </c>
      <c r="B46" s="52" t="s">
        <v>303</v>
      </c>
      <c r="C46" s="52" t="s">
        <v>32</v>
      </c>
      <c r="D46" s="52" t="s">
        <v>5941</v>
      </c>
      <c r="E46" s="52" t="s">
        <v>33</v>
      </c>
      <c r="F46" s="52" t="s">
        <v>304</v>
      </c>
      <c r="G46" s="52" t="s">
        <v>305</v>
      </c>
      <c r="H46" s="52" t="s">
        <v>306</v>
      </c>
      <c r="I46" s="52">
        <v>5.2713391E7</v>
      </c>
      <c r="J46" s="117">
        <v>7.114245E7</v>
      </c>
      <c r="K46" s="72">
        <f>VLOOKUP(F46,PAGO1,7,FALSE)</f>
        <v>4463840</v>
      </c>
      <c r="L46" s="72">
        <f>VLOOKUP(I46,PAGO2,5,FALSE)</f>
        <v>8369700</v>
      </c>
      <c r="M46" s="72">
        <f>VLOOKUP(I46,PAGO3,5,FALSE)</f>
        <v>8369700</v>
      </c>
      <c r="O46" s="52" t="str">
        <f>VLOOKUP(I46,RANGOPAGOS5,7,FALSE)</f>
        <v>$ 8.369.700</v>
      </c>
      <c r="P46" s="52" t="str">
        <f>VLOOKUP(I46,RANGOPAGOS6,7,FALSE)</f>
        <v>$ 8.369.700,00</v>
      </c>
      <c r="Z46" s="72">
        <f t="shared" si="1"/>
        <v>21203240</v>
      </c>
    </row>
    <row r="47">
      <c r="A47" s="52" t="s">
        <v>30</v>
      </c>
      <c r="B47" s="52" t="s">
        <v>309</v>
      </c>
      <c r="C47" s="52" t="s">
        <v>32</v>
      </c>
      <c r="D47" s="52" t="s">
        <v>5942</v>
      </c>
      <c r="E47" s="52" t="s">
        <v>33</v>
      </c>
      <c r="F47" s="52" t="s">
        <v>5943</v>
      </c>
      <c r="G47" s="52" t="s">
        <v>311</v>
      </c>
      <c r="H47" s="52" t="s">
        <v>312</v>
      </c>
      <c r="I47" s="52">
        <v>1.08829271E9</v>
      </c>
      <c r="J47" s="117">
        <v>9.60687E7</v>
      </c>
      <c r="K47" s="52" t="str">
        <f>VLOOKUP(F47,PAGO1,7,FALSE)</f>
        <v>#N/A</v>
      </c>
      <c r="L47" s="72">
        <f>VLOOKUP(I47,PAGO2,5,FALSE)</f>
        <v>8353800</v>
      </c>
      <c r="M47" s="72">
        <f>VLOOKUP(I47,PAGO3,5,FALSE)</f>
        <v>8353800</v>
      </c>
      <c r="O47" s="52" t="str">
        <f>VLOOKUP(I47,RANGOPAGOS5,7,FALSE)</f>
        <v>$ 8.353.800</v>
      </c>
      <c r="P47" s="52" t="str">
        <f>VLOOKUP(I47,RANGOPAGOS6,7,FALSE)</f>
        <v>$ 8.353.800,00</v>
      </c>
      <c r="Z47" s="52" t="str">
        <f t="shared" si="1"/>
        <v>#N/A</v>
      </c>
    </row>
    <row r="48">
      <c r="A48" s="52" t="s">
        <v>30</v>
      </c>
      <c r="B48" s="52" t="s">
        <v>314</v>
      </c>
      <c r="C48" s="52" t="s">
        <v>32</v>
      </c>
      <c r="D48" s="52" t="s">
        <v>5944</v>
      </c>
      <c r="E48" s="52" t="s">
        <v>33</v>
      </c>
      <c r="F48" s="52" t="s">
        <v>315</v>
      </c>
      <c r="G48" s="52" t="s">
        <v>316</v>
      </c>
      <c r="H48" s="52" t="s">
        <v>317</v>
      </c>
      <c r="I48" s="52">
        <v>1.019009968E9</v>
      </c>
      <c r="J48" s="117">
        <v>1.44029984E8</v>
      </c>
      <c r="K48" s="72">
        <f>VLOOKUP(F48,PAGO1,7,FALSE)</f>
        <v>7047338</v>
      </c>
      <c r="L48" s="72">
        <f>VLOOKUP(I48,PAGO2,5,FALSE)</f>
        <v>13213760</v>
      </c>
      <c r="M48" s="72">
        <f>VLOOKUP(I48,PAGO3,5,FALSE)</f>
        <v>13213760</v>
      </c>
      <c r="O48" s="52" t="str">
        <f>VLOOKUP(I48,RANGOPAGOS5,7,FALSE)</f>
        <v>$ 13.213.760</v>
      </c>
      <c r="P48" s="52" t="str">
        <f>VLOOKUP(I48,RANGOPAGOS6,7,FALSE)</f>
        <v>$ 13.213.760,00</v>
      </c>
      <c r="Z48" s="72">
        <f t="shared" si="1"/>
        <v>33474858</v>
      </c>
    </row>
    <row r="49">
      <c r="A49" s="52" t="s">
        <v>30</v>
      </c>
      <c r="B49" s="52" t="s">
        <v>320</v>
      </c>
      <c r="C49" s="52" t="s">
        <v>32</v>
      </c>
      <c r="D49" s="52" t="s">
        <v>5945</v>
      </c>
      <c r="E49" s="52" t="s">
        <v>33</v>
      </c>
      <c r="F49" s="52" t="s">
        <v>321</v>
      </c>
      <c r="G49" s="52" t="s">
        <v>322</v>
      </c>
      <c r="H49" s="52" t="s">
        <v>323</v>
      </c>
      <c r="I49" s="52">
        <v>5.2866537E7</v>
      </c>
      <c r="J49" s="117">
        <v>1.1980815E8</v>
      </c>
      <c r="K49" s="52" t="str">
        <f>VLOOKUP(F49,PAGO1,7,FALSE)</f>
        <v>#N/A</v>
      </c>
      <c r="L49" s="72">
        <f>VLOOKUP(I49,PAGO2,5,FALSE)</f>
        <v>10418100</v>
      </c>
      <c r="M49" s="72">
        <f>VLOOKUP(I49,PAGO3,5,FALSE)</f>
        <v>10418100</v>
      </c>
      <c r="O49" s="52" t="str">
        <f>VLOOKUP(I49,RANGOPAGOS5,7,FALSE)</f>
        <v>$ 10.418.100</v>
      </c>
      <c r="P49" s="52" t="str">
        <f>VLOOKUP(I49,RANGOPAGOS6,7,FALSE)</f>
        <v>$ 10.418.100,00</v>
      </c>
      <c r="Z49" s="52" t="str">
        <f t="shared" si="1"/>
        <v>#N/A</v>
      </c>
    </row>
    <row r="50">
      <c r="A50" s="52" t="s">
        <v>30</v>
      </c>
      <c r="B50" s="52" t="s">
        <v>324</v>
      </c>
      <c r="C50" s="52" t="s">
        <v>32</v>
      </c>
      <c r="D50" s="52" t="s">
        <v>5946</v>
      </c>
      <c r="E50" s="52" t="s">
        <v>33</v>
      </c>
      <c r="F50" s="52" t="s">
        <v>325</v>
      </c>
      <c r="G50" s="52" t="s">
        <v>326</v>
      </c>
      <c r="H50" s="52" t="s">
        <v>327</v>
      </c>
      <c r="I50" s="52">
        <v>1.152693194E9</v>
      </c>
      <c r="J50" s="117">
        <v>5.75E7</v>
      </c>
      <c r="K50" s="72">
        <f>VLOOKUP(F50,PAGO1,7,FALSE)</f>
        <v>2666666</v>
      </c>
      <c r="L50" s="72">
        <f>VLOOKUP(I50,PAGO2,5,FALSE)</f>
        <v>5000000</v>
      </c>
      <c r="M50" s="72">
        <f>VLOOKUP(I50,PAGO3,5,FALSE)</f>
        <v>5000000</v>
      </c>
      <c r="O50" s="52" t="str">
        <f>VLOOKUP(I50,RANGOPAGOS5,7,FALSE)</f>
        <v>$ 5.000.000</v>
      </c>
      <c r="P50" s="52" t="str">
        <f>VLOOKUP(I50,RANGOPAGOS6,7,FALSE)</f>
        <v>$ 5.000.000,00</v>
      </c>
      <c r="Z50" s="72">
        <f t="shared" si="1"/>
        <v>12666666</v>
      </c>
    </row>
    <row r="51">
      <c r="A51" s="52" t="s">
        <v>30</v>
      </c>
      <c r="B51" s="52" t="s">
        <v>329</v>
      </c>
      <c r="C51" s="52" t="s">
        <v>32</v>
      </c>
      <c r="D51" s="52" t="s">
        <v>5947</v>
      </c>
      <c r="E51" s="52" t="s">
        <v>248</v>
      </c>
      <c r="F51" s="52" t="s">
        <v>330</v>
      </c>
      <c r="G51" s="52" t="s">
        <v>331</v>
      </c>
      <c r="H51" s="52" t="s">
        <v>332</v>
      </c>
      <c r="I51" s="52">
        <v>1.003691415E9</v>
      </c>
      <c r="J51" s="117">
        <v>4.8092E7</v>
      </c>
      <c r="K51" s="72">
        <f>VLOOKUP(F51,PAGO1,7,FALSE)</f>
        <v>1603067</v>
      </c>
      <c r="L51" s="72">
        <f>VLOOKUP(I51,PAGO2,5,FALSE)</f>
        <v>4372000</v>
      </c>
      <c r="M51" s="72">
        <f>VLOOKUP(I51,PAGO3,5,FALSE)</f>
        <v>4372000</v>
      </c>
      <c r="O51" s="52" t="str">
        <f>VLOOKUP(I51,RANGOPAGOS5,7,FALSE)</f>
        <v>$ 4.372.000</v>
      </c>
      <c r="P51" s="52" t="str">
        <f>VLOOKUP(I51,RANGOPAGOS6,7,FALSE)</f>
        <v>$ 4.372.000,00</v>
      </c>
      <c r="Z51" s="72">
        <f t="shared" si="1"/>
        <v>10347067</v>
      </c>
    </row>
    <row r="52">
      <c r="A52" s="52" t="s">
        <v>30</v>
      </c>
      <c r="B52" s="52" t="s">
        <v>333</v>
      </c>
      <c r="C52" s="52" t="s">
        <v>32</v>
      </c>
      <c r="D52" s="52" t="s">
        <v>5948</v>
      </c>
      <c r="E52" s="52" t="s">
        <v>33</v>
      </c>
      <c r="F52" s="52" t="s">
        <v>334</v>
      </c>
      <c r="G52" s="52" t="s">
        <v>335</v>
      </c>
      <c r="H52" s="52" t="s">
        <v>336</v>
      </c>
      <c r="I52" s="52">
        <v>8.0027001E7</v>
      </c>
      <c r="J52" s="117">
        <v>6.3E7</v>
      </c>
      <c r="K52" s="72">
        <f>VLOOKUP(F52,PAGO1,7,FALSE)</f>
        <v>2566667</v>
      </c>
      <c r="L52" s="72">
        <f>VLOOKUP(I52,PAGO2,5,FALSE)</f>
        <v>7000000</v>
      </c>
      <c r="M52" s="72">
        <f>VLOOKUP(I52,PAGO3,5,FALSE)</f>
        <v>7000000</v>
      </c>
      <c r="O52" s="52" t="str">
        <f>VLOOKUP(I52,RANGOPAGOS5,7,FALSE)</f>
        <v>$ 7.000.000</v>
      </c>
      <c r="P52" s="52" t="str">
        <f>VLOOKUP(I52,RANGOPAGOS6,7,FALSE)</f>
        <v>$ 7.000.000,00</v>
      </c>
      <c r="Z52" s="72">
        <f t="shared" si="1"/>
        <v>16566667</v>
      </c>
    </row>
    <row r="53">
      <c r="A53" s="52" t="s">
        <v>30</v>
      </c>
      <c r="B53" s="52" t="s">
        <v>338</v>
      </c>
      <c r="C53" s="52" t="s">
        <v>32</v>
      </c>
      <c r="D53" s="52" t="s">
        <v>5949</v>
      </c>
      <c r="E53" s="52" t="s">
        <v>33</v>
      </c>
      <c r="F53" s="52" t="s">
        <v>339</v>
      </c>
      <c r="G53" s="52" t="s">
        <v>340</v>
      </c>
      <c r="H53" s="52" t="s">
        <v>341</v>
      </c>
      <c r="I53" s="52">
        <v>1.136879313E9</v>
      </c>
      <c r="J53" s="117">
        <v>8.28E7</v>
      </c>
      <c r="K53" s="72">
        <f>VLOOKUP(F53,PAGO1,7,FALSE)</f>
        <v>3600000</v>
      </c>
      <c r="L53" s="72">
        <f>VLOOKUP(I53,PAGO2,5,FALSE)</f>
        <v>7200000</v>
      </c>
      <c r="M53" s="72">
        <f>VLOOKUP(I53,PAGO3,5,FALSE)</f>
        <v>7200000</v>
      </c>
      <c r="O53" s="52" t="str">
        <f>VLOOKUP(I53,RANGOPAGOS5,7,FALSE)</f>
        <v>$ 7.200.000</v>
      </c>
      <c r="P53" s="52" t="str">
        <f>VLOOKUP(I53,RANGOPAGOS6,7,FALSE)</f>
        <v>$ 7.200.000,00</v>
      </c>
      <c r="Z53" s="72">
        <f t="shared" si="1"/>
        <v>18000000</v>
      </c>
    </row>
    <row r="54">
      <c r="A54" s="52" t="s">
        <v>30</v>
      </c>
      <c r="B54" s="52" t="s">
        <v>342</v>
      </c>
      <c r="C54" s="52" t="s">
        <v>32</v>
      </c>
      <c r="D54" s="52" t="s">
        <v>5950</v>
      </c>
      <c r="E54" s="52" t="s">
        <v>33</v>
      </c>
      <c r="F54" s="52" t="s">
        <v>343</v>
      </c>
      <c r="G54" s="52" t="s">
        <v>344</v>
      </c>
      <c r="H54" s="52" t="s">
        <v>345</v>
      </c>
      <c r="I54" s="52">
        <v>1.143855242E9</v>
      </c>
      <c r="J54" s="117">
        <v>2.700654E7</v>
      </c>
      <c r="K54" s="72">
        <f>VLOOKUP(F54,PAGO1,7,FALSE)</f>
        <v>288840</v>
      </c>
      <c r="L54" s="72">
        <f>VLOOKUP(I54,PAGO2,5,FALSE)</f>
        <v>4332600</v>
      </c>
      <c r="M54" s="72">
        <f>VLOOKUP(I54,PAGO3,5,FALSE)</f>
        <v>4332600</v>
      </c>
      <c r="O54" s="52" t="str">
        <f>VLOOKUP(I54,RANGOPAGOS5,7,FALSE)</f>
        <v>$ 4.332.600</v>
      </c>
      <c r="P54" s="52" t="str">
        <f>VLOOKUP(I54,RANGOPAGOS6,7,FALSE)</f>
        <v>$ 4.332.600,00</v>
      </c>
      <c r="Z54" s="72">
        <f t="shared" si="1"/>
        <v>8954040</v>
      </c>
    </row>
    <row r="55">
      <c r="A55" s="52" t="s">
        <v>30</v>
      </c>
      <c r="B55" s="52" t="s">
        <v>347</v>
      </c>
      <c r="C55" s="52" t="s">
        <v>32</v>
      </c>
      <c r="D55" s="52" t="s">
        <v>5951</v>
      </c>
      <c r="E55" s="52" t="s">
        <v>33</v>
      </c>
      <c r="F55" s="52" t="s">
        <v>348</v>
      </c>
      <c r="G55" s="52" t="s">
        <v>349</v>
      </c>
      <c r="H55" s="52" t="s">
        <v>350</v>
      </c>
      <c r="I55" s="52">
        <v>1.09872233E9</v>
      </c>
      <c r="J55" s="117">
        <v>8.8367016E7</v>
      </c>
      <c r="K55" s="72">
        <f>VLOOKUP(F55,PAGO1,7,FALSE)</f>
        <v>3671033</v>
      </c>
      <c r="L55" s="72">
        <f>VLOOKUP(I55,PAGO2,5,FALSE)</f>
        <v>7866500</v>
      </c>
      <c r="M55" s="72">
        <f>VLOOKUP(I55,PAGO3,5,FALSE)</f>
        <v>7866500</v>
      </c>
      <c r="O55" s="52" t="str">
        <f>VLOOKUP(I55,RANGOPAGOS5,7,FALSE)</f>
        <v>$ 7.866.500</v>
      </c>
      <c r="P55" s="52" t="str">
        <f>VLOOKUP(I55,RANGOPAGOS6,7,FALSE)</f>
        <v>$ 7.866.500,00</v>
      </c>
      <c r="Z55" s="72">
        <f t="shared" si="1"/>
        <v>19404033</v>
      </c>
    </row>
    <row r="56">
      <c r="A56" s="52" t="s">
        <v>30</v>
      </c>
      <c r="B56" s="52" t="s">
        <v>353</v>
      </c>
      <c r="C56" s="52" t="s">
        <v>32</v>
      </c>
      <c r="D56" s="52" t="s">
        <v>5952</v>
      </c>
      <c r="E56" s="52" t="s">
        <v>33</v>
      </c>
      <c r="F56" s="52" t="s">
        <v>354</v>
      </c>
      <c r="G56" s="52" t="s">
        <v>355</v>
      </c>
      <c r="H56" s="52" t="s">
        <v>356</v>
      </c>
      <c r="I56" s="52">
        <v>1.018453844E9</v>
      </c>
      <c r="J56" s="117">
        <v>1.1980815E8</v>
      </c>
      <c r="K56" s="72">
        <f>VLOOKUP(F56,PAGO1,7,FALSE)</f>
        <v>5556320</v>
      </c>
      <c r="L56" s="72">
        <f>VLOOKUP(I56,PAGO2,5,FALSE)</f>
        <v>10418100</v>
      </c>
      <c r="M56" s="72">
        <f>VLOOKUP(I56,PAGO3,5,FALSE)</f>
        <v>10418100</v>
      </c>
      <c r="O56" s="52" t="str">
        <f>VLOOKUP(I56,RANGOPAGOS5,7,FALSE)</f>
        <v>$ 10.418.100</v>
      </c>
      <c r="P56" s="52" t="str">
        <f>VLOOKUP(I56,RANGOPAGOS6,7,FALSE)</f>
        <v>$ 10.418.100,00</v>
      </c>
      <c r="Z56" s="72">
        <f t="shared" si="1"/>
        <v>26392520</v>
      </c>
    </row>
    <row r="57">
      <c r="A57" s="52" t="s">
        <v>30</v>
      </c>
      <c r="B57" s="52" t="s">
        <v>358</v>
      </c>
      <c r="C57" s="52" t="s">
        <v>32</v>
      </c>
      <c r="D57" s="52" t="s">
        <v>5953</v>
      </c>
      <c r="E57" s="52" t="s">
        <v>33</v>
      </c>
      <c r="F57" s="52" t="s">
        <v>359</v>
      </c>
      <c r="G57" s="52" t="s">
        <v>360</v>
      </c>
      <c r="H57" s="52" t="s">
        <v>361</v>
      </c>
      <c r="I57" s="52">
        <v>1.098310315E9</v>
      </c>
      <c r="J57" s="117">
        <v>9.29446E7</v>
      </c>
      <c r="K57" s="72">
        <f>VLOOKUP(F57,PAGO1,7,FALSE)</f>
        <v>4137000</v>
      </c>
      <c r="L57" s="72">
        <f>VLOOKUP(I57,PAGO2,5,FALSE)</f>
        <v>8274000</v>
      </c>
      <c r="M57" s="72">
        <f>VLOOKUP(I57,PAGO3,5,FALSE)</f>
        <v>8274000</v>
      </c>
      <c r="O57" s="52" t="str">
        <f>VLOOKUP(I57,RANGOPAGOS5,7,FALSE)</f>
        <v>$ 8.274.000</v>
      </c>
      <c r="P57" s="52" t="str">
        <f>VLOOKUP(I57,RANGOPAGOS6,7,FALSE)</f>
        <v>$ 8.274.000,00</v>
      </c>
      <c r="Z57" s="72">
        <f t="shared" si="1"/>
        <v>20685000</v>
      </c>
    </row>
    <row r="58">
      <c r="A58" s="52" t="s">
        <v>30</v>
      </c>
      <c r="B58" s="52" t="s">
        <v>363</v>
      </c>
      <c r="C58" s="52" t="s">
        <v>32</v>
      </c>
      <c r="D58" s="52" t="s">
        <v>5954</v>
      </c>
      <c r="E58" s="52" t="s">
        <v>33</v>
      </c>
      <c r="F58" s="52" t="s">
        <v>364</v>
      </c>
      <c r="G58" s="52" t="s">
        <v>365</v>
      </c>
      <c r="H58" s="52" t="s">
        <v>366</v>
      </c>
      <c r="I58" s="52">
        <v>5.1568567E7</v>
      </c>
      <c r="J58" s="117">
        <v>7.735774E7</v>
      </c>
      <c r="K58" s="72">
        <f>VLOOKUP(F58,PAGO1,7,FALSE)</f>
        <v>3363380</v>
      </c>
      <c r="L58" s="72">
        <f>VLOOKUP(I58,PAGO2,5,FALSE)</f>
        <v>6726760</v>
      </c>
      <c r="M58" s="72">
        <f>VLOOKUP(I58,PAGO3,5,FALSE)</f>
        <v>6726760</v>
      </c>
      <c r="O58" s="52" t="str">
        <f>VLOOKUP(I58,RANGOPAGOS5,7,FALSE)</f>
        <v>$ 6.726.760</v>
      </c>
      <c r="P58" s="52" t="str">
        <f>VLOOKUP(I58,RANGOPAGOS6,7,FALSE)</f>
        <v>$ 6.726.760,00</v>
      </c>
      <c r="Z58" s="72">
        <f t="shared" si="1"/>
        <v>16816900</v>
      </c>
    </row>
    <row r="59">
      <c r="A59" s="52" t="s">
        <v>30</v>
      </c>
      <c r="B59" s="52" t="s">
        <v>370</v>
      </c>
      <c r="C59" s="52" t="s">
        <v>32</v>
      </c>
      <c r="D59" s="52" t="s">
        <v>5955</v>
      </c>
      <c r="E59" s="52" t="s">
        <v>33</v>
      </c>
      <c r="F59" s="52" t="s">
        <v>371</v>
      </c>
      <c r="G59" s="52" t="s">
        <v>372</v>
      </c>
      <c r="H59" s="52" t="s">
        <v>373</v>
      </c>
      <c r="I59" s="52">
        <v>1.020752782E9</v>
      </c>
      <c r="J59" s="117"/>
      <c r="K59" s="72">
        <f>VLOOKUP(F59,PAGO1,7,FALSE)</f>
        <v>3500000</v>
      </c>
      <c r="L59" s="72">
        <f>VLOOKUP(I59,PAGO2,5,FALSE)</f>
        <v>7000000</v>
      </c>
      <c r="M59" s="72">
        <f>VLOOKUP(I59,PAGO3,5,FALSE)</f>
        <v>7000000</v>
      </c>
      <c r="O59" s="52" t="str">
        <f>VLOOKUP(I59,RANGOPAGOS5,7,FALSE)</f>
        <v>$ 7.000.000</v>
      </c>
      <c r="P59" s="52" t="str">
        <f>VLOOKUP(I59,RANGOPAGOS6,7,FALSE)</f>
        <v>$ 7.000.000,00</v>
      </c>
      <c r="Z59" s="72">
        <f t="shared" si="1"/>
        <v>17500000</v>
      </c>
    </row>
    <row r="60">
      <c r="A60" s="52" t="s">
        <v>30</v>
      </c>
      <c r="B60" s="52" t="s">
        <v>376</v>
      </c>
      <c r="C60" s="52" t="s">
        <v>32</v>
      </c>
      <c r="D60" s="52" t="s">
        <v>5956</v>
      </c>
      <c r="E60" s="52" t="s">
        <v>33</v>
      </c>
      <c r="F60" s="52" t="s">
        <v>377</v>
      </c>
      <c r="G60" s="52"/>
      <c r="H60" s="52" t="s">
        <v>379</v>
      </c>
      <c r="I60" s="52"/>
      <c r="J60" s="117"/>
      <c r="K60" s="72">
        <f>VLOOKUP(F60,PAGO1,7,FALSE)</f>
        <v>4325000</v>
      </c>
      <c r="L60" s="52" t="str">
        <f>VLOOKUP(I60,PAGO2,5,FALSE)</f>
        <v>#N/A</v>
      </c>
      <c r="M60" s="52" t="str">
        <f>VLOOKUP(I60,PAGO3,5,FALSE)</f>
        <v>#N/A</v>
      </c>
      <c r="O60" s="52" t="str">
        <f>VLOOKUP(I60,RANGOPAGOS5,7,FALSE)</f>
        <v>#N/A</v>
      </c>
      <c r="P60" s="52" t="str">
        <f>VLOOKUP(I60,RANGOPAGOS6,7,FALSE)</f>
        <v>#N/A</v>
      </c>
      <c r="Z60" s="52" t="str">
        <f t="shared" si="1"/>
        <v>#N/A</v>
      </c>
    </row>
    <row r="61">
      <c r="A61" s="52" t="s">
        <v>30</v>
      </c>
      <c r="B61" s="52" t="s">
        <v>380</v>
      </c>
      <c r="C61" s="52" t="s">
        <v>32</v>
      </c>
      <c r="D61" s="52" t="s">
        <v>5957</v>
      </c>
      <c r="E61" s="52" t="s">
        <v>33</v>
      </c>
      <c r="F61" s="52" t="s">
        <v>381</v>
      </c>
      <c r="G61" s="52" t="s">
        <v>382</v>
      </c>
      <c r="H61" s="52" t="s">
        <v>383</v>
      </c>
      <c r="I61" s="52">
        <v>1.016081819E9</v>
      </c>
      <c r="J61" s="117">
        <v>1.2040815E8</v>
      </c>
      <c r="K61" s="72">
        <f>VLOOKUP(F61,PAGO1,7,FALSE)</f>
        <v>3819970</v>
      </c>
      <c r="L61" s="72">
        <f>VLOOKUP(I61,PAGO2,5,FALSE)</f>
        <v>10418100</v>
      </c>
      <c r="M61" s="72">
        <f>VLOOKUP(I61,PAGO3,5,FALSE)</f>
        <v>10418100</v>
      </c>
      <c r="O61" s="52" t="str">
        <f>VLOOKUP(I61,RANGOPAGOS5,7,FALSE)</f>
        <v>$ 10.418.100</v>
      </c>
      <c r="P61" s="52" t="str">
        <f>VLOOKUP(I61,RANGOPAGOS6,7,FALSE)</f>
        <v>$ 10.418.100,00</v>
      </c>
      <c r="Z61" s="72">
        <f t="shared" si="1"/>
        <v>24656170</v>
      </c>
    </row>
    <row r="62">
      <c r="A62" s="52" t="s">
        <v>30</v>
      </c>
      <c r="B62" s="52" t="s">
        <v>385</v>
      </c>
      <c r="C62" s="52" t="s">
        <v>32</v>
      </c>
      <c r="D62" s="52" t="s">
        <v>5958</v>
      </c>
      <c r="E62" s="52" t="s">
        <v>33</v>
      </c>
      <c r="F62" s="52" t="s">
        <v>386</v>
      </c>
      <c r="G62" s="52" t="s">
        <v>387</v>
      </c>
      <c r="H62" s="52" t="s">
        <v>388</v>
      </c>
      <c r="I62" s="52">
        <v>1.018487193E9</v>
      </c>
      <c r="J62" s="117">
        <v>1.2120815E8</v>
      </c>
      <c r="K62" s="72">
        <f>VLOOKUP(F62,PAGO1,7,FALSE)</f>
        <v>4861780</v>
      </c>
      <c r="L62" s="72">
        <f>VLOOKUP(I62,PAGO2,5,FALSE)</f>
        <v>10418100</v>
      </c>
      <c r="M62" s="72">
        <f>VLOOKUP(I62,PAGO3,5,FALSE)</f>
        <v>10418100</v>
      </c>
      <c r="O62" s="52" t="str">
        <f>VLOOKUP(I62,RANGOPAGOS5,7,FALSE)</f>
        <v>$ 11.140.816</v>
      </c>
      <c r="P62" s="52" t="str">
        <f>VLOOKUP(I62,RANGOPAGOS6,7,FALSE)</f>
        <v>$ 10.418.100,00</v>
      </c>
      <c r="Z62" s="72">
        <f t="shared" si="1"/>
        <v>25697980</v>
      </c>
    </row>
    <row r="63">
      <c r="A63" s="52" t="s">
        <v>30</v>
      </c>
      <c r="B63" s="52" t="s">
        <v>391</v>
      </c>
      <c r="C63" s="52" t="s">
        <v>32</v>
      </c>
      <c r="D63" s="52" t="s">
        <v>5959</v>
      </c>
      <c r="E63" s="52" t="s">
        <v>33</v>
      </c>
      <c r="F63" s="52" t="s">
        <v>392</v>
      </c>
      <c r="G63" s="52" t="s">
        <v>393</v>
      </c>
      <c r="H63" s="52" t="s">
        <v>394</v>
      </c>
      <c r="I63" s="52">
        <v>7.9448382E7</v>
      </c>
      <c r="J63" s="117">
        <v>8.1E7</v>
      </c>
      <c r="K63" s="72">
        <f>VLOOKUP(F63,PAGO1,7,FALSE)</f>
        <v>4500000</v>
      </c>
      <c r="L63" s="72">
        <f>VLOOKUP(I63,PAGO2,5,FALSE)</f>
        <v>9000000</v>
      </c>
      <c r="M63" s="72">
        <f>VLOOKUP(I63,PAGO3,5,FALSE)</f>
        <v>9000000</v>
      </c>
      <c r="O63" s="52" t="str">
        <f>VLOOKUP(I63,RANGOPAGOS5,7,FALSE)</f>
        <v>$ 9.000.000</v>
      </c>
      <c r="P63" s="52" t="str">
        <f>VLOOKUP(I63,RANGOPAGOS6,7,FALSE)</f>
        <v>$ 9.000.000,00</v>
      </c>
      <c r="Z63" s="72">
        <f t="shared" si="1"/>
        <v>22500000</v>
      </c>
    </row>
    <row r="64">
      <c r="A64" s="52" t="s">
        <v>30</v>
      </c>
      <c r="B64" s="52" t="s">
        <v>395</v>
      </c>
      <c r="C64" s="52" t="s">
        <v>32</v>
      </c>
      <c r="D64" s="52" t="s">
        <v>5960</v>
      </c>
      <c r="E64" s="52" t="s">
        <v>33</v>
      </c>
      <c r="F64" s="52" t="s">
        <v>396</v>
      </c>
      <c r="G64" s="52" t="s">
        <v>5961</v>
      </c>
      <c r="H64" s="52" t="s">
        <v>5962</v>
      </c>
      <c r="I64" s="52">
        <v>1.013590021E9</v>
      </c>
      <c r="J64" s="117">
        <v>9.0933329E7</v>
      </c>
      <c r="K64" s="72">
        <f>VLOOKUP(F64,PAGO1,7,FALSE)</f>
        <v>3953623</v>
      </c>
      <c r="L64" s="72">
        <f>VLOOKUP(I64,PAGO2,5,FALSE)</f>
        <v>8500000</v>
      </c>
      <c r="M64" s="72">
        <f>VLOOKUP(I64,PAGO3,5,FALSE)</f>
        <v>8500000</v>
      </c>
      <c r="O64" s="52" t="str">
        <f>VLOOKUP(I64,RANGOPAGOS5,7,FALSE)</f>
        <v>$ 8.500.000</v>
      </c>
      <c r="P64" s="52" t="str">
        <f>VLOOKUP(I64,RANGOPAGOS6,7,FALSE)</f>
        <v>$ 8.500.000,00</v>
      </c>
      <c r="Z64" s="72">
        <f t="shared" si="1"/>
        <v>20953623</v>
      </c>
    </row>
    <row r="65">
      <c r="A65" s="52" t="s">
        <v>30</v>
      </c>
      <c r="B65" s="52" t="s">
        <v>401</v>
      </c>
      <c r="C65" s="52" t="s">
        <v>32</v>
      </c>
      <c r="D65" s="52" t="s">
        <v>5963</v>
      </c>
      <c r="E65" s="52" t="s">
        <v>33</v>
      </c>
      <c r="F65" s="52" t="s">
        <v>402</v>
      </c>
      <c r="G65" s="52" t="s">
        <v>403</v>
      </c>
      <c r="H65" s="52" t="s">
        <v>404</v>
      </c>
      <c r="I65" s="52">
        <v>1.090383442E9</v>
      </c>
      <c r="J65" s="117">
        <v>6.29395E7</v>
      </c>
      <c r="K65" s="72">
        <f>VLOOKUP(F65,PAGO1,7,FALSE)</f>
        <v>2554067</v>
      </c>
      <c r="L65" s="72">
        <f>VLOOKUP(I65,PAGO2,5,FALSE)</f>
        <v>5473000</v>
      </c>
      <c r="M65" s="72">
        <f>VLOOKUP(I65,PAGO3,5,FALSE)</f>
        <v>5473000</v>
      </c>
      <c r="O65" s="52" t="str">
        <f>VLOOKUP(I65,RANGOPAGOS5,7,FALSE)</f>
        <v>$ 5.473.000</v>
      </c>
      <c r="P65" s="52" t="str">
        <f>VLOOKUP(I65,RANGOPAGOS6,7,FALSE)</f>
        <v>$ 5.473.000,00</v>
      </c>
      <c r="Z65" s="72">
        <f t="shared" si="1"/>
        <v>13500067</v>
      </c>
    </row>
    <row r="66">
      <c r="A66" s="52" t="s">
        <v>30</v>
      </c>
      <c r="B66" s="52" t="s">
        <v>406</v>
      </c>
      <c r="C66" s="52" t="s">
        <v>32</v>
      </c>
      <c r="D66" s="52" t="s">
        <v>5964</v>
      </c>
      <c r="E66" s="52" t="s">
        <v>33</v>
      </c>
      <c r="F66" s="52" t="s">
        <v>407</v>
      </c>
      <c r="G66" s="52" t="s">
        <v>408</v>
      </c>
      <c r="H66" s="52" t="s">
        <v>409</v>
      </c>
      <c r="I66" s="52">
        <v>1.032504965E9</v>
      </c>
      <c r="J66" s="117">
        <v>4.861395E7</v>
      </c>
      <c r="K66" s="72">
        <f>VLOOKUP(F66,PAGO1,7,FALSE)</f>
        <v>1972740</v>
      </c>
      <c r="L66" s="72">
        <f>VLOOKUP(I66,PAGO2,5,FALSE)</f>
        <v>4227300</v>
      </c>
      <c r="M66" s="72">
        <f>VLOOKUP(I66,PAGO3,5,FALSE)</f>
        <v>4227300</v>
      </c>
      <c r="O66" s="52" t="str">
        <f>VLOOKUP(I66,RANGOPAGOS5,7,FALSE)</f>
        <v>$ 4.227.300</v>
      </c>
      <c r="P66" s="52" t="str">
        <f>VLOOKUP(I66,RANGOPAGOS6,7,FALSE)</f>
        <v>$ 4.227.300,00</v>
      </c>
      <c r="Z66" s="72">
        <f t="shared" si="1"/>
        <v>10427340</v>
      </c>
    </row>
    <row r="67">
      <c r="A67" s="52" t="s">
        <v>30</v>
      </c>
      <c r="B67" s="52" t="s">
        <v>411</v>
      </c>
      <c r="C67" s="52" t="s">
        <v>32</v>
      </c>
      <c r="D67" s="52" t="s">
        <v>5965</v>
      </c>
      <c r="E67" s="52" t="s">
        <v>33</v>
      </c>
      <c r="F67" s="52" t="s">
        <v>412</v>
      </c>
      <c r="G67" s="52" t="s">
        <v>413</v>
      </c>
      <c r="H67" s="52" t="s">
        <v>414</v>
      </c>
      <c r="I67" s="52">
        <v>1.020804167E9</v>
      </c>
      <c r="J67" s="117">
        <v>1.140975E8</v>
      </c>
      <c r="K67" s="52" t="str">
        <f>VLOOKUP(F67,PAGO1,7,FALSE)</f>
        <v>#N/A</v>
      </c>
      <c r="L67" s="72">
        <f>VLOOKUP(I67,PAGO2,5,FALSE)</f>
        <v>9679950</v>
      </c>
      <c r="M67" s="72">
        <f>VLOOKUP(I67,PAGO3,5,FALSE)</f>
        <v>9679950</v>
      </c>
      <c r="O67" s="52" t="str">
        <f>VLOOKUP(I67,RANGOPAGOS5,7,FALSE)</f>
        <v>$ 9.679.950</v>
      </c>
      <c r="P67" s="52" t="str">
        <f>VLOOKUP(I67,RANGOPAGOS6,7,FALSE)</f>
        <v>$ 9.679.950,00</v>
      </c>
      <c r="Z67" s="52" t="str">
        <f t="shared" si="1"/>
        <v>#N/A</v>
      </c>
    </row>
    <row r="68">
      <c r="A68" s="52" t="s">
        <v>30</v>
      </c>
      <c r="B68" s="52" t="s">
        <v>416</v>
      </c>
      <c r="C68" s="52" t="s">
        <v>32</v>
      </c>
      <c r="D68" s="52" t="s">
        <v>5966</v>
      </c>
      <c r="E68" s="52" t="s">
        <v>33</v>
      </c>
      <c r="F68" s="52" t="s">
        <v>417</v>
      </c>
      <c r="G68" s="52" t="s">
        <v>418</v>
      </c>
      <c r="H68" s="52" t="s">
        <v>419</v>
      </c>
      <c r="I68" s="52">
        <v>1.05382899E9</v>
      </c>
      <c r="J68" s="117">
        <v>1.40916056E8</v>
      </c>
      <c r="K68" s="72">
        <f>VLOOKUP(F68,PAGO1,7,FALSE)</f>
        <v>4181485</v>
      </c>
      <c r="L68" s="72">
        <f>VLOOKUP(I68,PAGO2,5,FALSE)</f>
        <v>12544456</v>
      </c>
      <c r="M68" s="72">
        <f>VLOOKUP(I68,PAGO3,5,FALSE)</f>
        <v>12544456</v>
      </c>
      <c r="O68" s="52" t="str">
        <f>VLOOKUP(I68,RANGOPAGOS5,7,FALSE)</f>
        <v>$ 12.544.456</v>
      </c>
      <c r="P68" s="52" t="str">
        <f>VLOOKUP(I68,RANGOPAGOS6,7,FALSE)</f>
        <v>$ 14.274.928,00</v>
      </c>
      <c r="Z68" s="72">
        <f t="shared" si="1"/>
        <v>29270397</v>
      </c>
    </row>
    <row r="69">
      <c r="A69" s="52" t="s">
        <v>422</v>
      </c>
      <c r="B69" s="52" t="s">
        <v>423</v>
      </c>
      <c r="C69" s="52" t="s">
        <v>32</v>
      </c>
      <c r="D69" s="52" t="s">
        <v>5967</v>
      </c>
      <c r="E69" s="52" t="s">
        <v>33</v>
      </c>
      <c r="F69" s="52" t="s">
        <v>424</v>
      </c>
      <c r="G69" s="52" t="s">
        <v>425</v>
      </c>
      <c r="H69" s="52" t="s">
        <v>426</v>
      </c>
      <c r="I69" s="52">
        <v>1.020786621E9</v>
      </c>
      <c r="J69" s="117">
        <v>9.2E7</v>
      </c>
      <c r="K69" s="72">
        <f>VLOOKUP(F69,PAGO1,7,FALSE)</f>
        <v>2933333</v>
      </c>
      <c r="L69" s="72">
        <f>VLOOKUP(I69,PAGO2,5,FALSE)</f>
        <v>8000000</v>
      </c>
      <c r="M69" s="72">
        <f>VLOOKUP(I69,PAGO3,5,FALSE)</f>
        <v>8000000</v>
      </c>
      <c r="O69" s="52" t="str">
        <f>VLOOKUP(I69,RANGOPAGOS5,7,FALSE)</f>
        <v>$ 8.000.000</v>
      </c>
      <c r="P69" s="52" t="str">
        <f>VLOOKUP(I69,RANGOPAGOS6,7,FALSE)</f>
        <v>$ 8.000.000,00</v>
      </c>
      <c r="Z69" s="72">
        <f t="shared" si="1"/>
        <v>18933333</v>
      </c>
    </row>
    <row r="70">
      <c r="A70" s="52" t="s">
        <v>422</v>
      </c>
      <c r="B70" s="52" t="s">
        <v>429</v>
      </c>
      <c r="C70" s="52" t="s">
        <v>32</v>
      </c>
      <c r="D70" s="52" t="s">
        <v>5968</v>
      </c>
      <c r="E70" s="52" t="s">
        <v>33</v>
      </c>
      <c r="F70" s="52" t="s">
        <v>430</v>
      </c>
      <c r="G70" s="52" t="s">
        <v>431</v>
      </c>
      <c r="H70" s="52" t="s">
        <v>432</v>
      </c>
      <c r="I70" s="52">
        <v>1.065837239E9</v>
      </c>
      <c r="J70" s="117">
        <v>7.475E7</v>
      </c>
      <c r="K70" s="72">
        <f>VLOOKUP(F70,PAGO1,7,FALSE)</f>
        <v>2383333</v>
      </c>
      <c r="L70" s="72">
        <f>VLOOKUP(I70,PAGO2,5,FALSE)</f>
        <v>6500000</v>
      </c>
      <c r="M70" s="72">
        <f>VLOOKUP(I70,PAGO3,5,FALSE)</f>
        <v>6500000</v>
      </c>
      <c r="O70" s="52" t="str">
        <f>VLOOKUP(I70,RANGOPAGOS5,7,FALSE)</f>
        <v>$ 6.500.000</v>
      </c>
      <c r="P70" s="52" t="str">
        <f>VLOOKUP(I70,RANGOPAGOS6,7,FALSE)</f>
        <v>$ 6.500.000,00</v>
      </c>
      <c r="Z70" s="72">
        <f t="shared" si="1"/>
        <v>15383333</v>
      </c>
    </row>
    <row r="71">
      <c r="A71" s="52" t="s">
        <v>30</v>
      </c>
      <c r="B71" s="52" t="s">
        <v>434</v>
      </c>
      <c r="C71" s="52" t="s">
        <v>32</v>
      </c>
      <c r="D71" s="52" t="s">
        <v>5969</v>
      </c>
      <c r="E71" s="52" t="s">
        <v>33</v>
      </c>
      <c r="F71" s="52" t="s">
        <v>435</v>
      </c>
      <c r="G71" s="52" t="s">
        <v>436</v>
      </c>
      <c r="H71" s="52" t="s">
        <v>437</v>
      </c>
      <c r="I71" s="52">
        <v>1.022406922E9</v>
      </c>
      <c r="J71" s="117">
        <v>5.9566867E7</v>
      </c>
      <c r="K71" s="52" t="str">
        <f>VLOOKUP(F71,PAGO1,7,FALSE)</f>
        <v>#N/A</v>
      </c>
      <c r="L71" s="72">
        <f>VLOOKUP(I71,PAGO2,5,FALSE)</f>
        <v>5746000</v>
      </c>
      <c r="M71" s="72">
        <f>VLOOKUP(I71,PAGO3,5,FALSE)</f>
        <v>5746000</v>
      </c>
      <c r="O71" s="52" t="str">
        <f>VLOOKUP(I71,RANGOPAGOS5,7,FALSE)</f>
        <v>$ 5.746.000</v>
      </c>
      <c r="P71" s="52" t="str">
        <f>VLOOKUP(I71,RANGOPAGOS6,7,FALSE)</f>
        <v>$ 5.746.000,00</v>
      </c>
      <c r="Z71" s="52" t="str">
        <f t="shared" si="1"/>
        <v>#N/A</v>
      </c>
    </row>
    <row r="72">
      <c r="A72" s="52" t="s">
        <v>30</v>
      </c>
      <c r="B72" s="52" t="s">
        <v>439</v>
      </c>
      <c r="C72" s="52" t="s">
        <v>32</v>
      </c>
      <c r="D72" s="52" t="s">
        <v>5970</v>
      </c>
      <c r="E72" s="52" t="s">
        <v>33</v>
      </c>
      <c r="F72" s="52" t="s">
        <v>440</v>
      </c>
      <c r="G72" s="52" t="s">
        <v>441</v>
      </c>
      <c r="H72" s="52" t="s">
        <v>442</v>
      </c>
      <c r="I72" s="52">
        <v>5.2354579E7</v>
      </c>
      <c r="J72" s="117">
        <v>4.95E7</v>
      </c>
      <c r="K72" s="72">
        <f>VLOOKUP(F72,PAGO1,7,FALSE)</f>
        <v>1650000</v>
      </c>
      <c r="L72" s="72">
        <f>VLOOKUP(I72,PAGO2,5,FALSE)</f>
        <v>4500000</v>
      </c>
      <c r="M72" s="72">
        <f>VLOOKUP(I72,PAGO3,5,FALSE)</f>
        <v>4500000</v>
      </c>
      <c r="O72" s="52" t="str">
        <f>VLOOKUP(I72,RANGOPAGOS5,7,FALSE)</f>
        <v>$ 4.500.000</v>
      </c>
      <c r="P72" s="52" t="str">
        <f>VLOOKUP(I72,RANGOPAGOS6,7,FALSE)</f>
        <v>$ 4.500.000,00</v>
      </c>
      <c r="Z72" s="72">
        <f t="shared" si="1"/>
        <v>10650000</v>
      </c>
    </row>
    <row r="73">
      <c r="A73" s="52" t="s">
        <v>30</v>
      </c>
      <c r="B73" s="52" t="s">
        <v>443</v>
      </c>
      <c r="C73" s="52" t="s">
        <v>32</v>
      </c>
      <c r="D73" s="52" t="s">
        <v>5971</v>
      </c>
      <c r="E73" s="52" t="s">
        <v>33</v>
      </c>
      <c r="F73" s="52" t="s">
        <v>444</v>
      </c>
      <c r="G73" s="52" t="s">
        <v>445</v>
      </c>
      <c r="H73" s="52" t="s">
        <v>446</v>
      </c>
      <c r="I73" s="52">
        <v>1.2129602E7</v>
      </c>
      <c r="J73" s="117">
        <v>8.46E7</v>
      </c>
      <c r="K73" s="72">
        <f>VLOOKUP(F73,PAGO1,7,FALSE)</f>
        <v>3877500</v>
      </c>
      <c r="L73" s="72">
        <f>VLOOKUP(I73,PAGO2,5,FALSE)</f>
        <v>10575000</v>
      </c>
      <c r="M73" s="72">
        <f>VLOOKUP(I73,PAGO3,5,FALSE)</f>
        <v>10575000</v>
      </c>
      <c r="O73" s="52" t="str">
        <f>VLOOKUP(I73,RANGOPAGOS5,7,FALSE)</f>
        <v>$ 10.575.000</v>
      </c>
      <c r="P73" s="52" t="str">
        <f>VLOOKUP(I73,RANGOPAGOS6,7,FALSE)</f>
        <v>$ 10.575.000,00</v>
      </c>
      <c r="Z73" s="72">
        <f t="shared" si="1"/>
        <v>25027500</v>
      </c>
    </row>
    <row r="74">
      <c r="A74" s="52" t="s">
        <v>30</v>
      </c>
      <c r="B74" s="52" t="s">
        <v>448</v>
      </c>
      <c r="C74" s="52" t="s">
        <v>32</v>
      </c>
      <c r="D74" s="52" t="s">
        <v>5972</v>
      </c>
      <c r="E74" s="52" t="s">
        <v>33</v>
      </c>
      <c r="F74" s="52" t="s">
        <v>449</v>
      </c>
      <c r="G74" s="52" t="s">
        <v>450</v>
      </c>
      <c r="H74" s="52" t="s">
        <v>451</v>
      </c>
      <c r="I74" s="52">
        <v>4.209482E7</v>
      </c>
      <c r="J74" s="117">
        <v>2.99915E7</v>
      </c>
      <c r="K74" s="52" t="str">
        <f>VLOOKUP(F74,PAGO1,7,FALSE)</f>
        <v>#N/A</v>
      </c>
      <c r="L74" s="72">
        <f>VLOOKUP(I74,PAGO2,5,FALSE)</f>
        <v>8569000</v>
      </c>
      <c r="M74" s="72">
        <f>VLOOKUP(I74,PAGO3,5,FALSE)</f>
        <v>8569000</v>
      </c>
      <c r="O74" s="52" t="str">
        <f>VLOOKUP(I74,RANGOPAGOS5,7,FALSE)</f>
        <v>$ 8.569.000</v>
      </c>
      <c r="P74" s="52" t="str">
        <f>VLOOKUP(I74,RANGOPAGOS6,7,FALSE)</f>
        <v>$ 8.569.000,00</v>
      </c>
      <c r="Z74" s="52" t="str">
        <f t="shared" si="1"/>
        <v>#N/A</v>
      </c>
    </row>
    <row r="75">
      <c r="A75" s="52" t="s">
        <v>30</v>
      </c>
      <c r="B75" s="52" t="s">
        <v>454</v>
      </c>
      <c r="C75" s="52" t="s">
        <v>32</v>
      </c>
      <c r="D75" s="52" t="s">
        <v>5973</v>
      </c>
      <c r="E75" s="52" t="s">
        <v>33</v>
      </c>
      <c r="F75" s="52" t="s">
        <v>455</v>
      </c>
      <c r="G75" s="52" t="s">
        <v>456</v>
      </c>
      <c r="H75" s="52" t="s">
        <v>1154</v>
      </c>
      <c r="I75" s="52">
        <v>1.05377392E9</v>
      </c>
      <c r="J75" s="117">
        <v>2.0755E7</v>
      </c>
      <c r="K75" s="52" t="str">
        <f>VLOOKUP(F75,PAGO1,7,FALSE)</f>
        <v>#N/A</v>
      </c>
      <c r="L75" s="72">
        <f>VLOOKUP(I75,PAGO2,5,FALSE)</f>
        <v>5930000</v>
      </c>
      <c r="M75" s="72">
        <f>VLOOKUP(I75,PAGO3,5,FALSE)</f>
        <v>5107620</v>
      </c>
      <c r="O75" s="52" t="str">
        <f>VLOOKUP(I75,RANGOPAGOS5,7,FALSE)</f>
        <v>$ 7.296.600</v>
      </c>
      <c r="P75" s="52" t="str">
        <f>VLOOKUP(I75,RANGOPAGOS6,7,FALSE)</f>
        <v>$ 7.296.600,00</v>
      </c>
      <c r="Z75" s="52" t="str">
        <f t="shared" si="1"/>
        <v>#N/A</v>
      </c>
    </row>
    <row r="76">
      <c r="A76" s="52" t="s">
        <v>30</v>
      </c>
      <c r="B76" s="52" t="s">
        <v>460</v>
      </c>
      <c r="C76" s="52" t="s">
        <v>32</v>
      </c>
      <c r="D76" s="52" t="s">
        <v>5974</v>
      </c>
      <c r="E76" s="52" t="s">
        <v>33</v>
      </c>
      <c r="F76" s="52" t="s">
        <v>461</v>
      </c>
      <c r="G76" s="52" t="s">
        <v>462</v>
      </c>
      <c r="H76" s="52" t="s">
        <v>463</v>
      </c>
      <c r="I76" s="52">
        <v>9.323712E7</v>
      </c>
      <c r="J76" s="117">
        <v>8.0E7</v>
      </c>
      <c r="K76" s="72">
        <f>VLOOKUP(F76,PAGO1,7,FALSE)</f>
        <v>2666667</v>
      </c>
      <c r="L76" s="72">
        <f>VLOOKUP(I76,PAGO2,5,FALSE)</f>
        <v>8000000</v>
      </c>
      <c r="M76" s="72">
        <f>VLOOKUP(I76,PAGO3,5,FALSE)</f>
        <v>8000000</v>
      </c>
      <c r="O76" s="52" t="str">
        <f>VLOOKUP(I76,RANGOPAGOS5,7,FALSE)</f>
        <v>$ 8.000.000</v>
      </c>
      <c r="P76" s="52" t="str">
        <f>VLOOKUP(I76,RANGOPAGOS6,7,FALSE)</f>
        <v>$ 8.000.000,00</v>
      </c>
      <c r="Z76" s="72">
        <f t="shared" si="1"/>
        <v>18666667</v>
      </c>
    </row>
    <row r="77">
      <c r="A77" s="52" t="s">
        <v>30</v>
      </c>
      <c r="B77" s="52" t="s">
        <v>464</v>
      </c>
      <c r="C77" s="52" t="s">
        <v>32</v>
      </c>
      <c r="D77" s="52" t="s">
        <v>5975</v>
      </c>
      <c r="E77" s="52" t="s">
        <v>33</v>
      </c>
      <c r="F77" s="52" t="s">
        <v>465</v>
      </c>
      <c r="G77" s="52" t="s">
        <v>466</v>
      </c>
      <c r="H77" s="52" t="s">
        <v>467</v>
      </c>
      <c r="I77" s="52">
        <v>1.015445697E9</v>
      </c>
      <c r="J77" s="117">
        <v>2.0755E7</v>
      </c>
      <c r="K77" s="72">
        <f>VLOOKUP(F77,PAGO1,7,FALSE)</f>
        <v>2174333</v>
      </c>
      <c r="L77" s="72">
        <f>VLOOKUP(I77,PAGO2,5,FALSE)</f>
        <v>5930000</v>
      </c>
      <c r="M77" s="72">
        <f>VLOOKUP(I77,PAGO3,5,FALSE)</f>
        <v>5930000</v>
      </c>
      <c r="O77" s="52" t="str">
        <f>VLOOKUP(I77,RANGOPAGOS5,7,FALSE)</f>
        <v>$ 5.930.000</v>
      </c>
      <c r="P77" s="52" t="str">
        <f>VLOOKUP(I77,RANGOPAGOS6,7,FALSE)</f>
        <v>$ 5.930.000,00</v>
      </c>
      <c r="Z77" s="72">
        <f t="shared" si="1"/>
        <v>14034333</v>
      </c>
    </row>
    <row r="78">
      <c r="A78" s="52" t="s">
        <v>30</v>
      </c>
      <c r="B78" s="52" t="s">
        <v>469</v>
      </c>
      <c r="C78" s="52" t="s">
        <v>32</v>
      </c>
      <c r="D78" s="52" t="s">
        <v>5976</v>
      </c>
      <c r="E78" s="52" t="s">
        <v>33</v>
      </c>
      <c r="F78" s="52" t="s">
        <v>470</v>
      </c>
      <c r="G78" s="52" t="s">
        <v>471</v>
      </c>
      <c r="H78" s="52" t="s">
        <v>472</v>
      </c>
      <c r="I78" s="52">
        <v>3.9683177E7</v>
      </c>
      <c r="J78" s="117">
        <v>9.775E7</v>
      </c>
      <c r="K78" s="72">
        <f>VLOOKUP(F78,PAGO1,7,FALSE)</f>
        <v>3116667</v>
      </c>
      <c r="L78" s="72">
        <f>VLOOKUP(I78,PAGO2,5,FALSE)</f>
        <v>8500000</v>
      </c>
      <c r="M78" s="72">
        <f>VLOOKUP(I78,PAGO3,5,FALSE)</f>
        <v>894712</v>
      </c>
      <c r="O78" s="52" t="str">
        <f>VLOOKUP(I78,RANGOPAGOS5,7,FALSE)</f>
        <v>$ 8.500.000</v>
      </c>
      <c r="P78" s="52" t="str">
        <f>VLOOKUP(I78,RANGOPAGOS6,7,FALSE)</f>
        <v>$ 4.677.021,00</v>
      </c>
      <c r="Z78" s="72">
        <f t="shared" si="1"/>
        <v>12511379</v>
      </c>
    </row>
    <row r="79">
      <c r="A79" s="52" t="s">
        <v>30</v>
      </c>
      <c r="B79" s="52" t="s">
        <v>476</v>
      </c>
      <c r="C79" s="52" t="s">
        <v>32</v>
      </c>
      <c r="D79" s="52" t="s">
        <v>5977</v>
      </c>
      <c r="E79" s="52" t="s">
        <v>33</v>
      </c>
      <c r="F79" s="52" t="s">
        <v>477</v>
      </c>
      <c r="G79" s="52" t="s">
        <v>478</v>
      </c>
      <c r="H79" s="52" t="s">
        <v>479</v>
      </c>
      <c r="I79" s="52">
        <v>9528037.0</v>
      </c>
      <c r="J79" s="117">
        <v>2.4556E7</v>
      </c>
      <c r="K79" s="72">
        <f>VLOOKUP(F79,PAGO1,7,FALSE)</f>
        <v>2572533</v>
      </c>
      <c r="L79" s="72">
        <f>VLOOKUP(I79,PAGO2,5,FALSE)</f>
        <v>7016000</v>
      </c>
      <c r="M79" s="72">
        <f>VLOOKUP(I79,PAGO3,5,FALSE)</f>
        <v>7016000</v>
      </c>
      <c r="O79" s="52" t="str">
        <f>VLOOKUP(I79,RANGOPAGOS5,7,FALSE)</f>
        <v>$ 7.016.000</v>
      </c>
      <c r="P79" s="52" t="str">
        <f>VLOOKUP(I79,RANGOPAGOS6,7,FALSE)</f>
        <v>$ 7.016.000,00</v>
      </c>
      <c r="Z79" s="72">
        <f t="shared" si="1"/>
        <v>16604533</v>
      </c>
    </row>
    <row r="80">
      <c r="A80" s="52" t="s">
        <v>30</v>
      </c>
      <c r="B80" s="52" t="s">
        <v>480</v>
      </c>
      <c r="C80" s="52" t="s">
        <v>32</v>
      </c>
      <c r="D80" s="52" t="s">
        <v>5978</v>
      </c>
      <c r="E80" s="52" t="s">
        <v>33</v>
      </c>
      <c r="F80" s="52" t="s">
        <v>481</v>
      </c>
      <c r="G80" s="52" t="s">
        <v>482</v>
      </c>
      <c r="H80" s="52" t="s">
        <v>483</v>
      </c>
      <c r="I80" s="52">
        <v>5.2811892E7</v>
      </c>
      <c r="J80" s="117">
        <v>9.775E7</v>
      </c>
      <c r="K80" s="52" t="str">
        <f>VLOOKUP(F80,PAGO1,7,FALSE)</f>
        <v>#N/A</v>
      </c>
      <c r="L80" s="72">
        <f>VLOOKUP(I80,PAGO2,5,FALSE)</f>
        <v>8500000</v>
      </c>
      <c r="M80" s="72">
        <f>VLOOKUP(I80,PAGO3,5,FALSE)</f>
        <v>8500000</v>
      </c>
      <c r="O80" s="52" t="str">
        <f>VLOOKUP(I80,RANGOPAGOS5,7,FALSE)</f>
        <v>$ 8.500.000</v>
      </c>
      <c r="P80" s="52" t="str">
        <f>VLOOKUP(I80,RANGOPAGOS6,7,FALSE)</f>
        <v>$ 3.822.979,00</v>
      </c>
      <c r="Z80" s="52" t="str">
        <f t="shared" si="1"/>
        <v>#N/A</v>
      </c>
    </row>
    <row r="81">
      <c r="A81" s="52"/>
      <c r="B81" s="52"/>
      <c r="C81" s="52"/>
      <c r="D81" s="52"/>
      <c r="E81" s="52"/>
      <c r="F81" s="52"/>
      <c r="G81" s="52"/>
      <c r="H81" s="52"/>
      <c r="I81" s="52"/>
      <c r="J81" s="117"/>
      <c r="K81" s="52" t="str">
        <f>VLOOKUP(F81,PAGO1,7,FALSE)</f>
        <v>#N/A</v>
      </c>
      <c r="L81" s="52" t="str">
        <f>VLOOKUP(I81,PAGO2,5,FALSE)</f>
        <v>#N/A</v>
      </c>
      <c r="M81" s="52" t="str">
        <f>VLOOKUP(I81,PAGO3,5,FALSE)</f>
        <v>#N/A</v>
      </c>
      <c r="O81" s="52" t="str">
        <f>VLOOKUP(I81,RANGOPAGOS5,7,FALSE)</f>
        <v>#N/A</v>
      </c>
      <c r="P81" s="52" t="str">
        <f>VLOOKUP(I81,RANGOPAGOS6,7,FALSE)</f>
        <v>#N/A</v>
      </c>
      <c r="Z81" s="52" t="str">
        <f t="shared" si="1"/>
        <v>#N/A</v>
      </c>
    </row>
    <row r="82">
      <c r="A82" s="52" t="s">
        <v>30</v>
      </c>
      <c r="B82" s="52" t="s">
        <v>485</v>
      </c>
      <c r="C82" s="52" t="s">
        <v>32</v>
      </c>
      <c r="D82" s="52" t="s">
        <v>5979</v>
      </c>
      <c r="E82" s="52" t="s">
        <v>33</v>
      </c>
      <c r="F82" s="52" t="s">
        <v>486</v>
      </c>
      <c r="G82" s="52" t="s">
        <v>487</v>
      </c>
      <c r="H82" s="52" t="s">
        <v>488</v>
      </c>
      <c r="I82" s="52">
        <v>7.4130577E7</v>
      </c>
      <c r="J82" s="117">
        <v>9.85435E7</v>
      </c>
      <c r="K82" s="52" t="str">
        <f>VLOOKUP(F82,PAGO1,7,FALSE)</f>
        <v>#N/A</v>
      </c>
      <c r="L82" s="72">
        <f>VLOOKUP(I82,PAGO2,5,FALSE)</f>
        <v>8569000</v>
      </c>
      <c r="M82" s="72">
        <f>VLOOKUP(I82,PAGO3,5,FALSE)</f>
        <v>8569000</v>
      </c>
      <c r="O82" s="52" t="str">
        <f>VLOOKUP(I82,RANGOPAGOS5,7,FALSE)</f>
        <v>$ 8.569.000</v>
      </c>
      <c r="P82" s="52" t="str">
        <f>VLOOKUP(I82,RANGOPAGOS6,7,FALSE)</f>
        <v>$ 8.569.000,00</v>
      </c>
      <c r="Z82" s="52" t="str">
        <f t="shared" si="1"/>
        <v>#N/A</v>
      </c>
    </row>
    <row r="83">
      <c r="A83" s="52" t="s">
        <v>30</v>
      </c>
      <c r="B83" s="52" t="s">
        <v>490</v>
      </c>
      <c r="C83" s="52" t="s">
        <v>32</v>
      </c>
      <c r="D83" s="52" t="s">
        <v>5980</v>
      </c>
      <c r="E83" s="52" t="s">
        <v>491</v>
      </c>
      <c r="F83" s="52" t="s">
        <v>492</v>
      </c>
      <c r="G83" s="52" t="s">
        <v>493</v>
      </c>
      <c r="H83" s="52" t="s">
        <v>492</v>
      </c>
      <c r="I83" s="52" t="s">
        <v>39</v>
      </c>
      <c r="J83" s="117"/>
      <c r="K83" s="52" t="str">
        <f>VLOOKUP(F83,PAGO1,7,FALSE)</f>
        <v>#N/A</v>
      </c>
      <c r="L83" s="52" t="str">
        <f>VLOOKUP(I83,PAGO2,5,FALSE)</f>
        <v>#N/A</v>
      </c>
      <c r="M83" s="52" t="str">
        <f>VLOOKUP(I83,PAGO3,5,FALSE)</f>
        <v>#N/A</v>
      </c>
      <c r="O83" s="52" t="str">
        <f>VLOOKUP(I83,RANGOPAGOS5,7,FALSE)</f>
        <v>#N/A</v>
      </c>
      <c r="P83" s="52" t="str">
        <f>VLOOKUP(I83,RANGOPAGOS6,7,FALSE)</f>
        <v>#N/A</v>
      </c>
      <c r="Z83" s="52" t="str">
        <f t="shared" si="1"/>
        <v>#N/A</v>
      </c>
    </row>
    <row r="84">
      <c r="A84" s="52" t="s">
        <v>30</v>
      </c>
      <c r="B84" s="52" t="s">
        <v>480</v>
      </c>
      <c r="C84" s="52" t="s">
        <v>32</v>
      </c>
      <c r="D84" s="52" t="s">
        <v>5981</v>
      </c>
      <c r="E84" s="52" t="s">
        <v>33</v>
      </c>
      <c r="F84" s="52" t="s">
        <v>497</v>
      </c>
      <c r="G84" s="52" t="s">
        <v>498</v>
      </c>
      <c r="H84" s="52" t="s">
        <v>499</v>
      </c>
      <c r="I84" s="52">
        <v>5.2734728E7</v>
      </c>
      <c r="J84" s="117">
        <v>3.629395E7</v>
      </c>
      <c r="K84" s="52" t="str">
        <f>VLOOKUP(F84,PAGO1,7,FALSE)</f>
        <v>#N/A</v>
      </c>
      <c r="L84" s="72">
        <f>VLOOKUP(I84,PAGO2,5,FALSE)</f>
        <v>3299450</v>
      </c>
      <c r="M84" s="72">
        <f>VLOOKUP(I84,PAGO3,5,FALSE)</f>
        <v>3299450</v>
      </c>
      <c r="O84" s="52" t="str">
        <f>VLOOKUP(I84,RANGOPAGOS5,7,FALSE)</f>
        <v>$ 3.299.450</v>
      </c>
      <c r="P84" s="52" t="str">
        <f>VLOOKUP(I84,RANGOPAGOS6,7,FALSE)</f>
        <v>$ 3.299.450,00</v>
      </c>
      <c r="Z84" s="52" t="str">
        <f t="shared" si="1"/>
        <v>#N/A</v>
      </c>
    </row>
    <row r="85">
      <c r="A85" s="52" t="s">
        <v>30</v>
      </c>
      <c r="B85" s="52" t="s">
        <v>501</v>
      </c>
      <c r="C85" s="52" t="s">
        <v>32</v>
      </c>
      <c r="D85" s="52" t="s">
        <v>5981</v>
      </c>
      <c r="E85" s="52" t="s">
        <v>33</v>
      </c>
      <c r="F85" s="52" t="s">
        <v>502</v>
      </c>
      <c r="G85" s="52" t="s">
        <v>503</v>
      </c>
      <c r="H85" s="52" t="s">
        <v>504</v>
      </c>
      <c r="I85" s="52">
        <v>1.070954996E9</v>
      </c>
      <c r="J85" s="117">
        <v>6.93E7</v>
      </c>
      <c r="K85" s="72">
        <f>VLOOKUP(F85,PAGO1,7,FALSE)</f>
        <v>1680000</v>
      </c>
      <c r="L85" s="72">
        <f>VLOOKUP(I85,PAGO2,5,FALSE)</f>
        <v>6300000</v>
      </c>
      <c r="M85" s="72">
        <f>VLOOKUP(I85,PAGO3,5,FALSE)</f>
        <v>6300000</v>
      </c>
      <c r="O85" s="52" t="str">
        <f>VLOOKUP(I85,RANGOPAGOS5,7,FALSE)</f>
        <v>$ 6.300.000</v>
      </c>
      <c r="P85" s="52" t="str">
        <f>VLOOKUP(I85,RANGOPAGOS6,7,FALSE)</f>
        <v>$ 6.300.000,00</v>
      </c>
      <c r="Z85" s="72">
        <f t="shared" si="1"/>
        <v>14280000</v>
      </c>
    </row>
    <row r="86">
      <c r="A86" s="52" t="s">
        <v>30</v>
      </c>
      <c r="B86" s="52" t="s">
        <v>505</v>
      </c>
      <c r="C86" s="52" t="s">
        <v>32</v>
      </c>
      <c r="D86" s="52" t="s">
        <v>5982</v>
      </c>
      <c r="E86" s="52" t="s">
        <v>33</v>
      </c>
      <c r="F86" s="52" t="s">
        <v>506</v>
      </c>
      <c r="G86" s="52" t="s">
        <v>507</v>
      </c>
      <c r="H86" s="52" t="s">
        <v>508</v>
      </c>
      <c r="I86" s="52">
        <v>7183875.0</v>
      </c>
      <c r="J86" s="117">
        <v>7.5E7</v>
      </c>
      <c r="K86" s="72">
        <f>VLOOKUP(F86,PAGO1,7,FALSE)</f>
        <v>2500000</v>
      </c>
      <c r="L86" s="72">
        <f>VLOOKUP(I86,PAGO2,5,FALSE)</f>
        <v>7500000</v>
      </c>
      <c r="M86" s="72">
        <f>VLOOKUP(I86,PAGO3,5,FALSE)</f>
        <v>7500000</v>
      </c>
      <c r="O86" s="52" t="str">
        <f>VLOOKUP(I86,RANGOPAGOS5,7,FALSE)</f>
        <v>$ 7.500.000</v>
      </c>
      <c r="P86" s="52" t="str">
        <f>VLOOKUP(I86,RANGOPAGOS6,7,FALSE)</f>
        <v>$ 7.500.000,00</v>
      </c>
      <c r="Z86" s="72">
        <f t="shared" si="1"/>
        <v>17500000</v>
      </c>
    </row>
    <row r="87">
      <c r="A87" s="52" t="s">
        <v>30</v>
      </c>
      <c r="B87" s="52" t="s">
        <v>510</v>
      </c>
      <c r="C87" s="52" t="s">
        <v>32</v>
      </c>
      <c r="D87" s="52" t="s">
        <v>5983</v>
      </c>
      <c r="E87" s="52" t="s">
        <v>33</v>
      </c>
      <c r="F87" s="52" t="s">
        <v>511</v>
      </c>
      <c r="G87" s="52" t="s">
        <v>512</v>
      </c>
      <c r="H87" s="52" t="s">
        <v>513</v>
      </c>
      <c r="I87" s="52">
        <v>1.3456486E7</v>
      </c>
      <c r="J87" s="117">
        <v>2.2211E7</v>
      </c>
      <c r="K87" s="72">
        <f>VLOOKUP(F87,PAGO1,7,FALSE)</f>
        <v>2115333</v>
      </c>
      <c r="L87" s="72">
        <f>VLOOKUP(I87,PAGO2,5,FALSE)</f>
        <v>6346000</v>
      </c>
      <c r="M87" s="72">
        <f>VLOOKUP(I87,PAGO3,5,FALSE)</f>
        <v>6346000</v>
      </c>
      <c r="O87" s="52" t="str">
        <f>VLOOKUP(I87,RANGOPAGOS5,7,FALSE)</f>
        <v>$ 6.346.000</v>
      </c>
      <c r="P87" s="52" t="str">
        <f>VLOOKUP(I87,RANGOPAGOS6,7,FALSE)</f>
        <v>$ 6.346.000,00</v>
      </c>
      <c r="Z87" s="72">
        <f t="shared" si="1"/>
        <v>14807333</v>
      </c>
    </row>
    <row r="88">
      <c r="A88" s="52" t="s">
        <v>30</v>
      </c>
      <c r="B88" s="52" t="s">
        <v>515</v>
      </c>
      <c r="C88" s="52" t="s">
        <v>32</v>
      </c>
      <c r="D88" s="52" t="s">
        <v>5984</v>
      </c>
      <c r="E88" s="52" t="s">
        <v>33</v>
      </c>
      <c r="F88" s="52" t="s">
        <v>516</v>
      </c>
      <c r="G88" s="52" t="s">
        <v>517</v>
      </c>
      <c r="H88" s="52" t="s">
        <v>518</v>
      </c>
      <c r="I88" s="52">
        <v>5.2045839E7</v>
      </c>
      <c r="J88" s="117">
        <v>6.414272E7</v>
      </c>
      <c r="K88" s="72">
        <f>VLOOKUP(F88,PAGO1,7,FALSE)</f>
        <v>2138091</v>
      </c>
      <c r="L88" s="72">
        <f>VLOOKUP(I88,PAGO2,5,FALSE)</f>
        <v>8017840</v>
      </c>
      <c r="M88" s="72">
        <f>VLOOKUP(I88,PAGO3,5,FALSE)</f>
        <v>8017840</v>
      </c>
      <c r="O88" s="52" t="str">
        <f>VLOOKUP(I88,RANGOPAGOS5,7,FALSE)</f>
        <v>$ 8.017.840</v>
      </c>
      <c r="P88" s="52" t="str">
        <f>VLOOKUP(I88,RANGOPAGOS6,7,FALSE)</f>
        <v>$ 8.017.840,00</v>
      </c>
      <c r="Z88" s="72">
        <f t="shared" si="1"/>
        <v>18173771</v>
      </c>
    </row>
    <row r="89">
      <c r="A89" s="52" t="s">
        <v>30</v>
      </c>
      <c r="B89" s="52" t="s">
        <v>519</v>
      </c>
      <c r="C89" s="52" t="s">
        <v>32</v>
      </c>
      <c r="D89" s="52" t="s">
        <v>5985</v>
      </c>
      <c r="E89" s="52" t="s">
        <v>520</v>
      </c>
      <c r="F89" s="52" t="s">
        <v>521</v>
      </c>
      <c r="G89" s="52" t="s">
        <v>522</v>
      </c>
      <c r="H89" s="52" t="s">
        <v>523</v>
      </c>
      <c r="I89" s="52">
        <v>5.3082812E7</v>
      </c>
      <c r="J89" s="117">
        <v>8.1E7</v>
      </c>
      <c r="K89" s="72">
        <f>VLOOKUP(F89,PAGO1,7,FALSE)</f>
        <v>1200000</v>
      </c>
      <c r="L89" s="72">
        <f>VLOOKUP(I89,PAGO2,5,FALSE)</f>
        <v>9000000</v>
      </c>
      <c r="M89" s="72">
        <f>VLOOKUP(I89,PAGO3,5,FALSE)</f>
        <v>9000000</v>
      </c>
      <c r="O89" s="52" t="str">
        <f>VLOOKUP(I89,RANGOPAGOS5,7,FALSE)</f>
        <v>$ 9.000.000</v>
      </c>
      <c r="P89" s="52" t="str">
        <f>VLOOKUP(I89,RANGOPAGOS6,7,FALSE)</f>
        <v>$ 9.000.000,00</v>
      </c>
      <c r="Z89" s="72">
        <f t="shared" si="1"/>
        <v>19200000</v>
      </c>
    </row>
    <row r="90">
      <c r="A90" s="52" t="s">
        <v>30</v>
      </c>
      <c r="B90" s="52" t="s">
        <v>525</v>
      </c>
      <c r="C90" s="52" t="s">
        <v>32</v>
      </c>
      <c r="D90" s="52" t="s">
        <v>5986</v>
      </c>
      <c r="E90" s="52" t="s">
        <v>33</v>
      </c>
      <c r="F90" s="52" t="s">
        <v>526</v>
      </c>
      <c r="G90" s="52" t="s">
        <v>527</v>
      </c>
      <c r="H90" s="52" t="s">
        <v>528</v>
      </c>
      <c r="I90" s="52">
        <v>7687651.0</v>
      </c>
      <c r="J90" s="117">
        <v>7.3668E7</v>
      </c>
      <c r="K90" s="72">
        <f>VLOOKUP(F90,PAGO1,7,FALSE)</f>
        <v>1964480</v>
      </c>
      <c r="L90" s="72">
        <f>VLOOKUP(I90,PAGO2,5,FALSE)</f>
        <v>7366800</v>
      </c>
      <c r="M90" s="72">
        <f>VLOOKUP(I90,PAGO3,5,FALSE)</f>
        <v>7366800</v>
      </c>
      <c r="O90" s="52" t="str">
        <f>VLOOKUP(I90,RANGOPAGOS5,7,FALSE)</f>
        <v>$ 7.366.800</v>
      </c>
      <c r="P90" s="52" t="str">
        <f>VLOOKUP(I90,RANGOPAGOS6,7,FALSE)</f>
        <v>$ 7.366.800,00</v>
      </c>
      <c r="Z90" s="72">
        <f t="shared" si="1"/>
        <v>16698080</v>
      </c>
    </row>
    <row r="91">
      <c r="A91" s="52" t="s">
        <v>30</v>
      </c>
      <c r="B91" s="52" t="s">
        <v>525</v>
      </c>
      <c r="C91" s="52" t="s">
        <v>32</v>
      </c>
      <c r="D91" s="52" t="s">
        <v>5987</v>
      </c>
      <c r="E91" s="52" t="s">
        <v>33</v>
      </c>
      <c r="F91" s="52" t="s">
        <v>531</v>
      </c>
      <c r="G91" s="52" t="s">
        <v>532</v>
      </c>
      <c r="H91" s="52" t="s">
        <v>533</v>
      </c>
      <c r="I91" s="52">
        <v>1.037608001E9</v>
      </c>
      <c r="J91" s="117">
        <v>8.14E7</v>
      </c>
      <c r="K91" s="72">
        <f>VLOOKUP(F91,PAGO1,7,FALSE)</f>
        <v>1726667</v>
      </c>
      <c r="L91" s="72">
        <f>VLOOKUP(I91,PAGO2,5,FALSE)</f>
        <v>7400000</v>
      </c>
      <c r="M91" s="72">
        <f>VLOOKUP(I91,PAGO3,5,FALSE)</f>
        <v>7400000</v>
      </c>
      <c r="O91" s="52" t="str">
        <f>VLOOKUP(I91,RANGOPAGOS5,7,FALSE)</f>
        <v>$ 7.400.000</v>
      </c>
      <c r="P91" s="52" t="str">
        <f>VLOOKUP(I91,RANGOPAGOS6,7,FALSE)</f>
        <v>$ 7.400.000,00</v>
      </c>
      <c r="Z91" s="72">
        <f t="shared" si="1"/>
        <v>16526667</v>
      </c>
    </row>
    <row r="92">
      <c r="A92" s="52" t="s">
        <v>30</v>
      </c>
      <c r="B92" s="52" t="s">
        <v>448</v>
      </c>
      <c r="C92" s="52" t="s">
        <v>32</v>
      </c>
      <c r="D92" s="52" t="s">
        <v>5988</v>
      </c>
      <c r="E92" s="52" t="s">
        <v>33</v>
      </c>
      <c r="F92" s="52" t="s">
        <v>534</v>
      </c>
      <c r="G92" s="52" t="s">
        <v>535</v>
      </c>
      <c r="H92" s="52" t="s">
        <v>536</v>
      </c>
      <c r="I92" s="52">
        <v>1.019065837E9</v>
      </c>
      <c r="J92" s="117">
        <v>5.5E7</v>
      </c>
      <c r="K92" s="52" t="str">
        <f>VLOOKUP(F92,PAGO1,7,FALSE)</f>
        <v>#N/A</v>
      </c>
      <c r="L92" s="72">
        <f>VLOOKUP(I92,PAGO2,5,FALSE)</f>
        <v>5000000</v>
      </c>
      <c r="M92" s="72">
        <f>VLOOKUP(I92,PAGO3,5,FALSE)</f>
        <v>5000000</v>
      </c>
      <c r="O92" s="52" t="str">
        <f>VLOOKUP(I92,RANGOPAGOS5,7,FALSE)</f>
        <v>$ 5.000.000</v>
      </c>
      <c r="P92" s="52" t="str">
        <f>VLOOKUP(I92,RANGOPAGOS6,7,FALSE)</f>
        <v>$ 5.000.000,00</v>
      </c>
      <c r="Z92" s="52" t="str">
        <f t="shared" si="1"/>
        <v>#N/A</v>
      </c>
    </row>
    <row r="93">
      <c r="A93" s="52" t="s">
        <v>30</v>
      </c>
      <c r="B93" s="52" t="s">
        <v>538</v>
      </c>
      <c r="C93" s="52" t="s">
        <v>32</v>
      </c>
      <c r="D93" s="52" t="s">
        <v>5989</v>
      </c>
      <c r="E93" s="52" t="s">
        <v>33</v>
      </c>
      <c r="F93" s="52" t="s">
        <v>539</v>
      </c>
      <c r="G93" s="52" t="s">
        <v>540</v>
      </c>
      <c r="H93" s="52" t="s">
        <v>541</v>
      </c>
      <c r="I93" s="52">
        <v>8.7949267E7</v>
      </c>
      <c r="J93" s="117">
        <v>1.4091E7</v>
      </c>
      <c r="K93" s="52" t="str">
        <f>VLOOKUP(F93,PAGO1,7,FALSE)</f>
        <v>#N/A</v>
      </c>
      <c r="L93" s="72">
        <f>VLOOKUP(I93,PAGO2,5,FALSE)</f>
        <v>4026000</v>
      </c>
      <c r="M93" s="72">
        <f>VLOOKUP(I93,PAGO3,5,FALSE)</f>
        <v>4026000</v>
      </c>
      <c r="O93" s="52" t="str">
        <f>VLOOKUP(I93,RANGOPAGOS5,7,FALSE)</f>
        <v>$ 4.026.000</v>
      </c>
      <c r="P93" s="52" t="str">
        <f>VLOOKUP(I93,RANGOPAGOS6,7,FALSE)</f>
        <v>$ 4.026.000,00</v>
      </c>
      <c r="Z93" s="52" t="str">
        <f t="shared" si="1"/>
        <v>#N/A</v>
      </c>
    </row>
    <row r="94">
      <c r="A94" s="52" t="s">
        <v>30</v>
      </c>
      <c r="B94" s="52" t="s">
        <v>542</v>
      </c>
      <c r="C94" s="52" t="s">
        <v>32</v>
      </c>
      <c r="D94" s="52" t="s">
        <v>5990</v>
      </c>
      <c r="E94" s="52" t="s">
        <v>33</v>
      </c>
      <c r="F94" s="52" t="s">
        <v>543</v>
      </c>
      <c r="G94" s="52" t="s">
        <v>544</v>
      </c>
      <c r="H94" s="52" t="s">
        <v>545</v>
      </c>
      <c r="I94" s="52">
        <v>1.026299983E9</v>
      </c>
      <c r="J94" s="117">
        <v>7.2765E7</v>
      </c>
      <c r="K94" s="52" t="str">
        <f>VLOOKUP(F94,PAGO1,7,FALSE)</f>
        <v>#N/A</v>
      </c>
      <c r="L94" s="72">
        <f>VLOOKUP(I94,PAGO2,5,FALSE)</f>
        <v>6615000</v>
      </c>
      <c r="M94" s="72">
        <f>VLOOKUP(I94,PAGO3,5,FALSE)</f>
        <v>6615000</v>
      </c>
      <c r="O94" s="52" t="str">
        <f>VLOOKUP(I94,RANGOPAGOS5,7,FALSE)</f>
        <v>$ 6.615.000</v>
      </c>
      <c r="P94" s="52" t="str">
        <f>VLOOKUP(I94,RANGOPAGOS6,7,FALSE)</f>
        <v>$ 6.615.000,00</v>
      </c>
      <c r="Z94" s="52" t="str">
        <f t="shared" si="1"/>
        <v>#N/A</v>
      </c>
    </row>
    <row r="95">
      <c r="A95" s="52" t="s">
        <v>30</v>
      </c>
      <c r="B95" s="52" t="s">
        <v>547</v>
      </c>
      <c r="C95" s="52" t="s">
        <v>32</v>
      </c>
      <c r="D95" s="52" t="s">
        <v>5991</v>
      </c>
      <c r="E95" s="52" t="s">
        <v>33</v>
      </c>
      <c r="F95" s="52" t="s">
        <v>548</v>
      </c>
      <c r="G95" s="52" t="s">
        <v>549</v>
      </c>
      <c r="H95" s="52" t="s">
        <v>550</v>
      </c>
      <c r="I95" s="52">
        <v>2.6203478E7</v>
      </c>
      <c r="J95" s="117">
        <v>4.2E7</v>
      </c>
      <c r="K95" s="72">
        <f>VLOOKUP(F95,PAGO1,7,FALSE)</f>
        <v>4000000</v>
      </c>
      <c r="L95" s="72">
        <f>VLOOKUP(I95,PAGO2,5,FALSE)</f>
        <v>4000000</v>
      </c>
      <c r="M95" s="72">
        <f>VLOOKUP(I95,PAGO3,5,FALSE)</f>
        <v>4000000</v>
      </c>
      <c r="O95" s="52" t="str">
        <f>VLOOKUP(I95,RANGOPAGOS5,7,FALSE)</f>
        <v>$ 4.000.000</v>
      </c>
      <c r="P95" s="52" t="str">
        <f>VLOOKUP(I95,RANGOPAGOS6,7,FALSE)</f>
        <v>$ 4.000.000,00</v>
      </c>
      <c r="Z95" s="72">
        <f t="shared" si="1"/>
        <v>12000000</v>
      </c>
    </row>
    <row r="96">
      <c r="A96" s="52" t="s">
        <v>30</v>
      </c>
      <c r="B96" s="52" t="s">
        <v>553</v>
      </c>
      <c r="C96" s="52" t="s">
        <v>32</v>
      </c>
      <c r="D96" s="52" t="s">
        <v>5992</v>
      </c>
      <c r="E96" s="52" t="s">
        <v>33</v>
      </c>
      <c r="F96" s="52" t="s">
        <v>554</v>
      </c>
      <c r="G96" s="52" t="s">
        <v>555</v>
      </c>
      <c r="H96" s="52" t="s">
        <v>556</v>
      </c>
      <c r="I96" s="52">
        <v>1.07413537E9</v>
      </c>
      <c r="J96" s="117">
        <v>7.32963E7</v>
      </c>
      <c r="K96" s="72">
        <f>VLOOKUP(F96,PAGO1,7,FALSE)</f>
        <v>1554770</v>
      </c>
      <c r="L96" s="72">
        <f>VLOOKUP(I96,PAGO2,5,FALSE)</f>
        <v>6663300</v>
      </c>
      <c r="M96" s="72">
        <f>VLOOKUP(I96,PAGO3,5,FALSE)</f>
        <v>6663300</v>
      </c>
      <c r="O96" s="52" t="str">
        <f>VLOOKUP(I96,RANGOPAGOS5,7,FALSE)</f>
        <v>$ 6.663.300</v>
      </c>
      <c r="P96" s="52" t="str">
        <f>VLOOKUP(I96,RANGOPAGOS6,7,FALSE)</f>
        <v>$ 6.663.300,00</v>
      </c>
      <c r="Z96" s="72">
        <f t="shared" si="1"/>
        <v>14881370</v>
      </c>
    </row>
    <row r="97">
      <c r="A97" s="52" t="s">
        <v>30</v>
      </c>
      <c r="B97" s="52" t="s">
        <v>553</v>
      </c>
      <c r="C97" s="52" t="s">
        <v>32</v>
      </c>
      <c r="D97" s="52" t="s">
        <v>5993</v>
      </c>
      <c r="E97" s="52" t="s">
        <v>33</v>
      </c>
      <c r="F97" s="52" t="s">
        <v>558</v>
      </c>
      <c r="G97" s="52" t="s">
        <v>559</v>
      </c>
      <c r="H97" s="52" t="s">
        <v>560</v>
      </c>
      <c r="I97" s="52">
        <v>1.144099527E9</v>
      </c>
      <c r="J97" s="117">
        <v>4.81173E7</v>
      </c>
      <c r="K97" s="72">
        <f>VLOOKUP(F97,PAGO1,7,FALSE)</f>
        <v>1020670</v>
      </c>
      <c r="L97" s="72">
        <f>VLOOKUP(I97,PAGO2,5,FALSE)</f>
        <v>4374300</v>
      </c>
      <c r="M97" s="72">
        <f>VLOOKUP(I97,PAGO3,5,FALSE)</f>
        <v>4374300</v>
      </c>
      <c r="O97" s="52" t="str">
        <f>VLOOKUP(I97,RANGOPAGOS5,7,FALSE)</f>
        <v>$ 4.374.300</v>
      </c>
      <c r="P97" s="52" t="str">
        <f>VLOOKUP(I97,RANGOPAGOS6,7,FALSE)</f>
        <v>$ 4.374.300,00</v>
      </c>
      <c r="Z97" s="72">
        <f t="shared" si="1"/>
        <v>9769270</v>
      </c>
    </row>
    <row r="98">
      <c r="A98" s="52" t="s">
        <v>30</v>
      </c>
      <c r="B98" s="52" t="s">
        <v>562</v>
      </c>
      <c r="C98" s="52" t="s">
        <v>32</v>
      </c>
      <c r="D98" s="52" t="s">
        <v>5994</v>
      </c>
      <c r="E98" s="52" t="s">
        <v>33</v>
      </c>
      <c r="F98" s="52" t="s">
        <v>563</v>
      </c>
      <c r="G98" s="52" t="s">
        <v>287</v>
      </c>
      <c r="H98" s="52" t="s">
        <v>564</v>
      </c>
      <c r="I98" s="52">
        <v>1.100838461E9</v>
      </c>
      <c r="J98" s="117">
        <v>8.10348E7</v>
      </c>
      <c r="K98" s="72">
        <f>VLOOKUP(F98,PAGO1,7,FALSE)</f>
        <v>1718920</v>
      </c>
      <c r="L98" s="72">
        <f>VLOOKUP(I98,PAGO2,5,FALSE)</f>
        <v>7366800</v>
      </c>
      <c r="M98" s="72">
        <f>VLOOKUP(I98,PAGO3,5,FALSE)</f>
        <v>7366800</v>
      </c>
      <c r="O98" s="52" t="str">
        <f>VLOOKUP(I98,RANGOPAGOS5,7,FALSE)</f>
        <v>$ 7.366.800</v>
      </c>
      <c r="P98" s="52" t="str">
        <f>VLOOKUP(I98,RANGOPAGOS6,7,FALSE)</f>
        <v>$ 7.366.800,00</v>
      </c>
      <c r="Z98" s="72">
        <f t="shared" si="1"/>
        <v>16452520</v>
      </c>
    </row>
    <row r="99">
      <c r="A99" s="52" t="s">
        <v>30</v>
      </c>
      <c r="B99" s="52" t="s">
        <v>547</v>
      </c>
      <c r="C99" s="52" t="s">
        <v>32</v>
      </c>
      <c r="D99" s="52" t="s">
        <v>5992</v>
      </c>
      <c r="E99" s="52" t="s">
        <v>33</v>
      </c>
      <c r="F99" s="52" t="s">
        <v>565</v>
      </c>
      <c r="G99" s="52" t="s">
        <v>555</v>
      </c>
      <c r="H99" s="52" t="s">
        <v>566</v>
      </c>
      <c r="I99" s="52">
        <v>1.02235787E9</v>
      </c>
      <c r="J99" s="117">
        <v>7.32963E7</v>
      </c>
      <c r="K99" s="72">
        <f>VLOOKUP(F99,PAGO1,7,FALSE)</f>
        <v>1554770</v>
      </c>
      <c r="L99" s="72">
        <f>VLOOKUP(I99,PAGO2,5,FALSE)</f>
        <v>6663300</v>
      </c>
      <c r="M99" s="72">
        <f>VLOOKUP(I99,PAGO3,5,FALSE)</f>
        <v>6663300</v>
      </c>
      <c r="O99" s="52" t="str">
        <f>VLOOKUP(I99,RANGOPAGOS5,7,FALSE)</f>
        <v>$ 6.663.300</v>
      </c>
      <c r="P99" s="52" t="str">
        <f>VLOOKUP(I99,RANGOPAGOS6,7,FALSE)</f>
        <v>$ 6.663.300,00</v>
      </c>
      <c r="Z99" s="72">
        <f t="shared" si="1"/>
        <v>14881370</v>
      </c>
    </row>
    <row r="100">
      <c r="A100" s="52" t="s">
        <v>30</v>
      </c>
      <c r="B100" s="52"/>
      <c r="C100" s="52" t="s">
        <v>32</v>
      </c>
      <c r="D100" s="52" t="s">
        <v>5993</v>
      </c>
      <c r="E100" s="52" t="s">
        <v>33</v>
      </c>
      <c r="F100" s="52" t="s">
        <v>568</v>
      </c>
      <c r="G100" s="52" t="s">
        <v>569</v>
      </c>
      <c r="H100" s="52" t="s">
        <v>570</v>
      </c>
      <c r="I100" s="52">
        <v>7.9434157E7</v>
      </c>
      <c r="J100" s="117">
        <v>4.5066667E7</v>
      </c>
      <c r="K100" s="72">
        <f>VLOOKUP(F100,PAGO1,7,FALSE)</f>
        <v>933333</v>
      </c>
      <c r="L100" s="72">
        <f>VLOOKUP(I100,PAGO2,5,FALSE)</f>
        <v>4000000</v>
      </c>
      <c r="M100" s="72">
        <f>VLOOKUP(I100,PAGO3,5,FALSE)</f>
        <v>4000000</v>
      </c>
      <c r="O100" s="52" t="str">
        <f>VLOOKUP(I100,RANGOPAGOS5,7,FALSE)</f>
        <v>$ 4.000.000</v>
      </c>
      <c r="P100" s="52" t="str">
        <f>VLOOKUP(I100,RANGOPAGOS6,7,FALSE)</f>
        <v>$ 4.000.000,00</v>
      </c>
      <c r="Z100" s="72">
        <f t="shared" si="1"/>
        <v>8933333</v>
      </c>
    </row>
    <row r="101">
      <c r="A101" s="52"/>
      <c r="B101" s="52" t="s">
        <v>572</v>
      </c>
      <c r="C101" s="52"/>
      <c r="D101" s="52"/>
      <c r="E101" s="52"/>
      <c r="F101" s="52"/>
      <c r="G101" s="52"/>
      <c r="H101" s="52"/>
      <c r="I101" s="52"/>
      <c r="J101" s="117"/>
      <c r="K101" s="52" t="str">
        <f>VLOOKUP(F101,PAGO1,7,FALSE)</f>
        <v>#N/A</v>
      </c>
      <c r="L101" s="52" t="str">
        <f>VLOOKUP(I101,PAGO2,5,FALSE)</f>
        <v>#N/A</v>
      </c>
      <c r="M101" s="52" t="str">
        <f>VLOOKUP(I101,PAGO3,5,FALSE)</f>
        <v>#N/A</v>
      </c>
      <c r="O101" s="52" t="str">
        <f>VLOOKUP(I101,RANGOPAGOS5,7,FALSE)</f>
        <v>#N/A</v>
      </c>
      <c r="P101" s="52" t="str">
        <f>VLOOKUP(I101,RANGOPAGOS6,7,FALSE)</f>
        <v>#N/A</v>
      </c>
      <c r="Z101" s="52" t="str">
        <f t="shared" si="1"/>
        <v>#N/A</v>
      </c>
    </row>
    <row r="102">
      <c r="A102" s="52" t="s">
        <v>30</v>
      </c>
      <c r="B102" s="52" t="s">
        <v>577</v>
      </c>
      <c r="C102" s="52" t="s">
        <v>32</v>
      </c>
      <c r="D102" s="52" t="s">
        <v>5995</v>
      </c>
      <c r="E102" s="52" t="s">
        <v>33</v>
      </c>
      <c r="F102" s="52" t="s">
        <v>578</v>
      </c>
      <c r="G102" s="52" t="s">
        <v>579</v>
      </c>
      <c r="H102" s="52" t="s">
        <v>580</v>
      </c>
      <c r="I102" s="52">
        <v>1.085897401E9</v>
      </c>
      <c r="J102" s="117">
        <v>8.112E7</v>
      </c>
      <c r="K102" s="72">
        <f>VLOOKUP(F102,PAGO1,7,FALSE)</f>
        <v>1680000</v>
      </c>
      <c r="L102" s="72">
        <f>VLOOKUP(I102,PAGO2,5,FALSE)</f>
        <v>7200000</v>
      </c>
      <c r="M102" s="72">
        <f>VLOOKUP(I102,PAGO3,5,FALSE)</f>
        <v>7200000</v>
      </c>
      <c r="O102" s="52" t="str">
        <f>VLOOKUP(I102,RANGOPAGOS5,7,FALSE)</f>
        <v>$ 7.200.000</v>
      </c>
      <c r="P102" s="52" t="str">
        <f>VLOOKUP(I102,RANGOPAGOS6,7,FALSE)</f>
        <v>$ 7.200.000,00</v>
      </c>
      <c r="Z102" s="72">
        <f t="shared" si="1"/>
        <v>16080000</v>
      </c>
    </row>
    <row r="103">
      <c r="A103" s="52" t="s">
        <v>581</v>
      </c>
      <c r="B103" s="52" t="s">
        <v>2737</v>
      </c>
      <c r="C103" s="52" t="s">
        <v>32</v>
      </c>
      <c r="D103" s="52" t="s">
        <v>5996</v>
      </c>
      <c r="E103" s="52" t="s">
        <v>583</v>
      </c>
      <c r="F103" s="52" t="s">
        <v>1651</v>
      </c>
      <c r="G103" s="52" t="s">
        <v>487</v>
      </c>
      <c r="H103" s="52" t="s">
        <v>488</v>
      </c>
      <c r="I103" s="52">
        <v>7.4130577E7</v>
      </c>
      <c r="J103" s="117" t="s">
        <v>1542</v>
      </c>
      <c r="K103" s="72">
        <f>VLOOKUP(F103,PAGO1,7,FALSE)</f>
        <v>2856333</v>
      </c>
      <c r="L103" s="72">
        <f>VLOOKUP(I103,PAGO2,5,FALSE)</f>
        <v>8569000</v>
      </c>
      <c r="M103" s="72">
        <f>VLOOKUP(I103,PAGO3,5,FALSE)</f>
        <v>8569000</v>
      </c>
      <c r="O103" s="52" t="str">
        <f>VLOOKUP(I103,RANGOPAGOS5,7,FALSE)</f>
        <v>$ 8.569.000</v>
      </c>
      <c r="P103" s="52" t="str">
        <f>VLOOKUP(I103,RANGOPAGOS6,7,FALSE)</f>
        <v>$ 8.569.000,00</v>
      </c>
      <c r="Z103" s="72">
        <f t="shared" si="1"/>
        <v>19994333</v>
      </c>
    </row>
    <row r="104">
      <c r="A104" s="52" t="s">
        <v>581</v>
      </c>
      <c r="B104" s="52" t="s">
        <v>615</v>
      </c>
      <c r="C104" s="52" t="s">
        <v>32</v>
      </c>
      <c r="D104" s="52" t="s">
        <v>5997</v>
      </c>
      <c r="E104" s="52" t="s">
        <v>583</v>
      </c>
      <c r="F104" s="52" t="s">
        <v>492</v>
      </c>
      <c r="G104" s="52" t="s">
        <v>1654</v>
      </c>
      <c r="H104" s="52" t="s">
        <v>494</v>
      </c>
      <c r="I104" s="52" t="s">
        <v>2606</v>
      </c>
      <c r="J104" s="117">
        <v>1.7292512E7</v>
      </c>
      <c r="K104" s="52" t="str">
        <f>VLOOKUP(F104,PAGO1,7,FALSE)</f>
        <v>#N/A</v>
      </c>
      <c r="L104" s="52" t="str">
        <f>VLOOKUP(I104,PAGO2,5,FALSE)</f>
        <v>#N/A</v>
      </c>
      <c r="M104" s="52" t="str">
        <f>VLOOKUP(I104,PAGO3,5,FALSE)</f>
        <v>#N/A</v>
      </c>
      <c r="O104" s="52" t="str">
        <f>VLOOKUP(I104,RANGOPAGOS5,7,FALSE)</f>
        <v>#N/A</v>
      </c>
      <c r="P104" s="52" t="str">
        <f>VLOOKUP(I104,RANGOPAGOS6,7,FALSE)</f>
        <v>#N/A</v>
      </c>
      <c r="Z104" s="52" t="str">
        <f t="shared" si="1"/>
        <v>#N/A</v>
      </c>
    </row>
    <row r="105">
      <c r="A105" s="52" t="s">
        <v>581</v>
      </c>
      <c r="B105" s="52" t="s">
        <v>2749</v>
      </c>
      <c r="C105" s="52" t="s">
        <v>32</v>
      </c>
      <c r="D105" s="52" t="s">
        <v>5998</v>
      </c>
      <c r="E105" s="52" t="s">
        <v>781</v>
      </c>
      <c r="F105" s="52" t="s">
        <v>1655</v>
      </c>
      <c r="G105" s="52" t="s">
        <v>498</v>
      </c>
      <c r="H105" s="52" t="s">
        <v>1656</v>
      </c>
      <c r="I105" s="52">
        <v>5.2734728E7</v>
      </c>
      <c r="J105" s="117" t="s">
        <v>1658</v>
      </c>
      <c r="K105" s="72">
        <f>VLOOKUP(F105,PAGO1,7,FALSE)</f>
        <v>1099817</v>
      </c>
      <c r="L105" s="72">
        <f>VLOOKUP(I105,PAGO2,5,FALSE)</f>
        <v>3299450</v>
      </c>
      <c r="M105" s="72">
        <f>VLOOKUP(I105,PAGO3,5,FALSE)</f>
        <v>3299450</v>
      </c>
      <c r="O105" s="52" t="str">
        <f>VLOOKUP(I105,RANGOPAGOS5,7,FALSE)</f>
        <v>$ 3.299.450</v>
      </c>
      <c r="P105" s="52" t="str">
        <f>VLOOKUP(I105,RANGOPAGOS6,7,FALSE)</f>
        <v>$ 3.299.450,00</v>
      </c>
      <c r="Z105" s="72">
        <f t="shared" si="1"/>
        <v>7698717</v>
      </c>
    </row>
    <row r="106">
      <c r="A106" s="52" t="s">
        <v>581</v>
      </c>
      <c r="B106" s="52" t="s">
        <v>2755</v>
      </c>
      <c r="C106" s="52" t="s">
        <v>32</v>
      </c>
      <c r="D106" s="52" t="s">
        <v>5999</v>
      </c>
      <c r="E106" s="52" t="s">
        <v>583</v>
      </c>
      <c r="F106" s="52" t="s">
        <v>502</v>
      </c>
      <c r="G106" s="52" t="s">
        <v>503</v>
      </c>
      <c r="H106" s="52" t="s">
        <v>1660</v>
      </c>
      <c r="I106" s="52">
        <v>1.070954996E9</v>
      </c>
      <c r="J106" s="117" t="s">
        <v>1661</v>
      </c>
      <c r="K106" s="72">
        <f>VLOOKUP(F106,PAGO1,7,FALSE)</f>
        <v>1680000</v>
      </c>
      <c r="L106" s="72">
        <f>VLOOKUP(I106,PAGO2,5,FALSE)</f>
        <v>6300000</v>
      </c>
      <c r="M106" s="72">
        <f>VLOOKUP(I106,PAGO3,5,FALSE)</f>
        <v>6300000</v>
      </c>
      <c r="O106" s="52" t="str">
        <f>VLOOKUP(I106,RANGOPAGOS5,7,FALSE)</f>
        <v>$ 6.300.000</v>
      </c>
      <c r="P106" s="52" t="str">
        <f>VLOOKUP(I106,RANGOPAGOS6,7,FALSE)</f>
        <v>$ 6.300.000,00</v>
      </c>
      <c r="Z106" s="72">
        <f t="shared" si="1"/>
        <v>14280000</v>
      </c>
    </row>
    <row r="107">
      <c r="A107" s="52" t="s">
        <v>581</v>
      </c>
      <c r="B107" s="52" t="s">
        <v>2764</v>
      </c>
      <c r="C107" s="52" t="s">
        <v>32</v>
      </c>
      <c r="D107" s="52" t="s">
        <v>6000</v>
      </c>
      <c r="E107" s="52" t="s">
        <v>583</v>
      </c>
      <c r="F107" s="52" t="s">
        <v>506</v>
      </c>
      <c r="G107" s="52" t="s">
        <v>507</v>
      </c>
      <c r="H107" s="52" t="s">
        <v>1662</v>
      </c>
      <c r="I107" s="52">
        <v>7183875.0</v>
      </c>
      <c r="J107" s="117" t="s">
        <v>1664</v>
      </c>
      <c r="K107" s="72">
        <f>VLOOKUP(F107,PAGO1,7,FALSE)</f>
        <v>2500000</v>
      </c>
      <c r="L107" s="72">
        <f>VLOOKUP(I107,PAGO2,5,FALSE)</f>
        <v>7500000</v>
      </c>
      <c r="M107" s="72">
        <f>VLOOKUP(I107,PAGO3,5,FALSE)</f>
        <v>7500000</v>
      </c>
      <c r="O107" s="52" t="str">
        <f>VLOOKUP(I107,RANGOPAGOS5,7,FALSE)</f>
        <v>$ 7.500.000</v>
      </c>
      <c r="P107" s="52" t="str">
        <f>VLOOKUP(I107,RANGOPAGOS6,7,FALSE)</f>
        <v>$ 7.500.000,00</v>
      </c>
      <c r="Z107" s="72">
        <f t="shared" si="1"/>
        <v>17500000</v>
      </c>
    </row>
    <row r="108">
      <c r="A108" s="52" t="s">
        <v>581</v>
      </c>
      <c r="B108" s="52" t="s">
        <v>2770</v>
      </c>
      <c r="C108" s="52" t="s">
        <v>32</v>
      </c>
      <c r="D108" s="52" t="s">
        <v>6001</v>
      </c>
      <c r="E108" s="52" t="s">
        <v>583</v>
      </c>
      <c r="F108" s="52" t="s">
        <v>511</v>
      </c>
      <c r="G108" s="52" t="s">
        <v>512</v>
      </c>
      <c r="H108" s="52" t="s">
        <v>513</v>
      </c>
      <c r="I108" s="52">
        <v>1.3456486E7</v>
      </c>
      <c r="J108" s="117" t="s">
        <v>1665</v>
      </c>
      <c r="K108" s="72">
        <f>VLOOKUP(F108,PAGO1,7,FALSE)</f>
        <v>2115333</v>
      </c>
      <c r="L108" s="72">
        <f>VLOOKUP(I108,PAGO2,5,FALSE)</f>
        <v>6346000</v>
      </c>
      <c r="M108" s="72">
        <f>VLOOKUP(I108,PAGO3,5,FALSE)</f>
        <v>6346000</v>
      </c>
      <c r="O108" s="52" t="str">
        <f>VLOOKUP(I108,RANGOPAGOS5,7,FALSE)</f>
        <v>$ 6.346.000</v>
      </c>
      <c r="P108" s="52" t="str">
        <f>VLOOKUP(I108,RANGOPAGOS6,7,FALSE)</f>
        <v>$ 6.346.000,00</v>
      </c>
      <c r="Z108" s="72">
        <f t="shared" si="1"/>
        <v>14807333</v>
      </c>
    </row>
    <row r="109">
      <c r="A109" s="52" t="s">
        <v>581</v>
      </c>
      <c r="B109" s="52" t="s">
        <v>2777</v>
      </c>
      <c r="C109" s="52" t="s">
        <v>32</v>
      </c>
      <c r="D109" s="52" t="s">
        <v>6002</v>
      </c>
      <c r="E109" s="52" t="s">
        <v>583</v>
      </c>
      <c r="F109" s="52" t="s">
        <v>516</v>
      </c>
      <c r="G109" s="52" t="s">
        <v>517</v>
      </c>
      <c r="H109" s="52" t="s">
        <v>1667</v>
      </c>
      <c r="I109" s="52">
        <v>5.2045839E7</v>
      </c>
      <c r="J109" s="117" t="s">
        <v>1668</v>
      </c>
      <c r="K109" s="72">
        <f>VLOOKUP(F109,PAGO1,7,FALSE)</f>
        <v>2138091</v>
      </c>
      <c r="L109" s="72">
        <f>VLOOKUP(I109,PAGO2,5,FALSE)</f>
        <v>8017840</v>
      </c>
      <c r="M109" s="72">
        <f>VLOOKUP(I109,PAGO3,5,FALSE)</f>
        <v>8017840</v>
      </c>
      <c r="O109" s="52" t="str">
        <f>VLOOKUP(I109,RANGOPAGOS5,7,FALSE)</f>
        <v>$ 8.017.840</v>
      </c>
      <c r="P109" s="52" t="str">
        <f>VLOOKUP(I109,RANGOPAGOS6,7,FALSE)</f>
        <v>$ 8.017.840,00</v>
      </c>
      <c r="Z109" s="72">
        <f t="shared" si="1"/>
        <v>18173771</v>
      </c>
    </row>
    <row r="110">
      <c r="A110" s="52" t="s">
        <v>581</v>
      </c>
      <c r="B110" s="52" t="s">
        <v>2783</v>
      </c>
      <c r="C110" s="52" t="s">
        <v>32</v>
      </c>
      <c r="D110" s="52" t="s">
        <v>6003</v>
      </c>
      <c r="E110" s="52" t="s">
        <v>583</v>
      </c>
      <c r="F110" s="52" t="s">
        <v>521</v>
      </c>
      <c r="G110" s="52" t="s">
        <v>1670</v>
      </c>
      <c r="H110" s="52" t="s">
        <v>1669</v>
      </c>
      <c r="I110" s="52">
        <v>5.3082812E7</v>
      </c>
      <c r="J110" s="117" t="s">
        <v>1606</v>
      </c>
      <c r="K110" s="72">
        <f>VLOOKUP(F110,PAGO1,7,FALSE)</f>
        <v>1200000</v>
      </c>
      <c r="L110" s="72">
        <f>VLOOKUP(I110,PAGO2,5,FALSE)</f>
        <v>9000000</v>
      </c>
      <c r="M110" s="72">
        <f>VLOOKUP(I110,PAGO3,5,FALSE)</f>
        <v>9000000</v>
      </c>
      <c r="O110" s="52" t="str">
        <f>VLOOKUP(I110,RANGOPAGOS5,7,FALSE)</f>
        <v>$ 9.000.000</v>
      </c>
      <c r="P110" s="52" t="str">
        <f>VLOOKUP(I110,RANGOPAGOS6,7,FALSE)</f>
        <v>$ 9.000.000,00</v>
      </c>
      <c r="Z110" s="72">
        <f t="shared" si="1"/>
        <v>19200000</v>
      </c>
    </row>
    <row r="111">
      <c r="A111" s="52" t="s">
        <v>581</v>
      </c>
      <c r="B111" s="52" t="s">
        <v>2791</v>
      </c>
      <c r="C111" s="52" t="s">
        <v>32</v>
      </c>
      <c r="D111" s="52" t="s">
        <v>6004</v>
      </c>
      <c r="E111" s="52" t="s">
        <v>583</v>
      </c>
      <c r="F111" s="52" t="s">
        <v>526</v>
      </c>
      <c r="G111" s="52" t="s">
        <v>527</v>
      </c>
      <c r="H111" s="52" t="s">
        <v>1671</v>
      </c>
      <c r="I111" s="52">
        <v>7687651.0</v>
      </c>
      <c r="J111" s="117" t="s">
        <v>1672</v>
      </c>
      <c r="K111" s="72">
        <f>VLOOKUP(F111,PAGO1,7,FALSE)</f>
        <v>1964480</v>
      </c>
      <c r="L111" s="72">
        <f>VLOOKUP(I111,PAGO2,5,FALSE)</f>
        <v>7366800</v>
      </c>
      <c r="M111" s="72">
        <f>VLOOKUP(I111,PAGO3,5,FALSE)</f>
        <v>7366800</v>
      </c>
      <c r="O111" s="52" t="str">
        <f>VLOOKUP(I111,RANGOPAGOS5,7,FALSE)</f>
        <v>$ 7.366.800</v>
      </c>
      <c r="P111" s="52" t="str">
        <f>VLOOKUP(I111,RANGOPAGOS6,7,FALSE)</f>
        <v>$ 7.366.800,00</v>
      </c>
      <c r="Z111" s="72">
        <f t="shared" si="1"/>
        <v>16698080</v>
      </c>
    </row>
    <row r="112">
      <c r="A112" s="52" t="s">
        <v>581</v>
      </c>
      <c r="B112" s="52" t="s">
        <v>2797</v>
      </c>
      <c r="C112" s="52" t="s">
        <v>32</v>
      </c>
      <c r="D112" s="52" t="s">
        <v>6005</v>
      </c>
      <c r="E112" s="52" t="s">
        <v>583</v>
      </c>
      <c r="F112" s="52" t="s">
        <v>531</v>
      </c>
      <c r="G112" s="52" t="s">
        <v>532</v>
      </c>
      <c r="H112" s="52" t="s">
        <v>1673</v>
      </c>
      <c r="I112" s="52">
        <v>1.037608001E9</v>
      </c>
      <c r="J112" s="117" t="s">
        <v>1675</v>
      </c>
      <c r="K112" s="72">
        <f>VLOOKUP(F112,PAGO1,7,FALSE)</f>
        <v>1726667</v>
      </c>
      <c r="L112" s="72">
        <f>VLOOKUP(I112,PAGO2,5,FALSE)</f>
        <v>7400000</v>
      </c>
      <c r="M112" s="72">
        <f>VLOOKUP(I112,PAGO3,5,FALSE)</f>
        <v>7400000</v>
      </c>
      <c r="O112" s="52" t="str">
        <f>VLOOKUP(I112,RANGOPAGOS5,7,FALSE)</f>
        <v>$ 7.400.000</v>
      </c>
      <c r="P112" s="52" t="str">
        <f>VLOOKUP(I112,RANGOPAGOS6,7,FALSE)</f>
        <v>$ 7.400.000,00</v>
      </c>
      <c r="Z112" s="72">
        <f t="shared" si="1"/>
        <v>16526667</v>
      </c>
    </row>
    <row r="113">
      <c r="A113" s="52" t="s">
        <v>581</v>
      </c>
      <c r="B113" s="52" t="s">
        <v>2804</v>
      </c>
      <c r="C113" s="52" t="s">
        <v>32</v>
      </c>
      <c r="D113" s="52" t="s">
        <v>6006</v>
      </c>
      <c r="E113" s="52" t="s">
        <v>583</v>
      </c>
      <c r="F113" s="52" t="s">
        <v>534</v>
      </c>
      <c r="G113" s="52" t="s">
        <v>535</v>
      </c>
      <c r="H113" s="52" t="s">
        <v>1676</v>
      </c>
      <c r="I113" s="52">
        <v>1.019065837E9</v>
      </c>
      <c r="J113" s="117" t="s">
        <v>1677</v>
      </c>
      <c r="K113" s="52" t="str">
        <f>VLOOKUP(F113,PAGO1,7,FALSE)</f>
        <v>#N/A</v>
      </c>
      <c r="L113" s="72">
        <f>VLOOKUP(I113,PAGO2,5,FALSE)</f>
        <v>5000000</v>
      </c>
      <c r="M113" s="72">
        <f>VLOOKUP(I113,PAGO3,5,FALSE)</f>
        <v>5000000</v>
      </c>
      <c r="O113" s="52" t="str">
        <f>VLOOKUP(I113,RANGOPAGOS5,7,FALSE)</f>
        <v>$ 5.000.000</v>
      </c>
      <c r="P113" s="52" t="str">
        <f>VLOOKUP(I113,RANGOPAGOS6,7,FALSE)</f>
        <v>$ 5.000.000,00</v>
      </c>
      <c r="Z113" s="52" t="str">
        <f t="shared" si="1"/>
        <v>#N/A</v>
      </c>
    </row>
    <row r="114">
      <c r="A114" s="52" t="s">
        <v>581</v>
      </c>
      <c r="B114" s="52" t="s">
        <v>2812</v>
      </c>
      <c r="C114" s="52" t="s">
        <v>32</v>
      </c>
      <c r="D114" s="52" t="s">
        <v>6007</v>
      </c>
      <c r="E114" s="52" t="s">
        <v>583</v>
      </c>
      <c r="F114" s="52" t="s">
        <v>1678</v>
      </c>
      <c r="G114" s="52" t="s">
        <v>540</v>
      </c>
      <c r="H114" s="52" t="s">
        <v>541</v>
      </c>
      <c r="I114" s="52">
        <v>8.7949267E7</v>
      </c>
      <c r="J114" s="117" t="s">
        <v>1679</v>
      </c>
      <c r="K114" s="72">
        <f>VLOOKUP(F114,PAGO1,7,FALSE)</f>
        <v>1073600</v>
      </c>
      <c r="L114" s="72">
        <f>VLOOKUP(I114,PAGO2,5,FALSE)</f>
        <v>4026000</v>
      </c>
      <c r="M114" s="72">
        <f>VLOOKUP(I114,PAGO3,5,FALSE)</f>
        <v>4026000</v>
      </c>
      <c r="O114" s="52" t="str">
        <f>VLOOKUP(I114,RANGOPAGOS5,7,FALSE)</f>
        <v>$ 4.026.000</v>
      </c>
      <c r="P114" s="52" t="str">
        <f>VLOOKUP(I114,RANGOPAGOS6,7,FALSE)</f>
        <v>$ 4.026.000,00</v>
      </c>
      <c r="Z114" s="72">
        <f t="shared" si="1"/>
        <v>9125600</v>
      </c>
    </row>
    <row r="115">
      <c r="A115" s="52" t="s">
        <v>581</v>
      </c>
      <c r="B115" s="52" t="s">
        <v>2821</v>
      </c>
      <c r="C115" s="52" t="s">
        <v>32</v>
      </c>
      <c r="D115" s="52" t="s">
        <v>6008</v>
      </c>
      <c r="E115" s="52" t="s">
        <v>583</v>
      </c>
      <c r="F115" s="52" t="s">
        <v>543</v>
      </c>
      <c r="G115" s="52" t="s">
        <v>544</v>
      </c>
      <c r="H115" s="52" t="s">
        <v>545</v>
      </c>
      <c r="I115" s="52">
        <v>1.026299983E9</v>
      </c>
      <c r="J115" s="117" t="s">
        <v>1681</v>
      </c>
      <c r="K115" s="52" t="str">
        <f>VLOOKUP(F115,PAGO1,7,FALSE)</f>
        <v>#N/A</v>
      </c>
      <c r="L115" s="72">
        <f>VLOOKUP(I115,PAGO2,5,FALSE)</f>
        <v>6615000</v>
      </c>
      <c r="M115" s="72">
        <f>VLOOKUP(I115,PAGO3,5,FALSE)</f>
        <v>6615000</v>
      </c>
      <c r="O115" s="52" t="str">
        <f>VLOOKUP(I115,RANGOPAGOS5,7,FALSE)</f>
        <v>$ 6.615.000</v>
      </c>
      <c r="P115" s="52" t="str">
        <f>VLOOKUP(I115,RANGOPAGOS6,7,FALSE)</f>
        <v>$ 6.615.000,00</v>
      </c>
      <c r="Z115" s="52" t="str">
        <f t="shared" si="1"/>
        <v>#N/A</v>
      </c>
    </row>
    <row r="116">
      <c r="A116" s="52" t="s">
        <v>581</v>
      </c>
      <c r="B116" s="52" t="s">
        <v>2828</v>
      </c>
      <c r="C116" s="52" t="s">
        <v>32</v>
      </c>
      <c r="D116" s="52" t="s">
        <v>6009</v>
      </c>
      <c r="E116" s="52" t="s">
        <v>781</v>
      </c>
      <c r="F116" s="52" t="s">
        <v>548</v>
      </c>
      <c r="G116" s="52" t="s">
        <v>549</v>
      </c>
      <c r="H116" s="52" t="s">
        <v>1682</v>
      </c>
      <c r="I116" s="52">
        <v>2.6203478E7</v>
      </c>
      <c r="J116" s="117" t="s">
        <v>1486</v>
      </c>
      <c r="K116" s="72">
        <f>VLOOKUP(F116,PAGO1,7,FALSE)</f>
        <v>4000000</v>
      </c>
      <c r="L116" s="72">
        <f>VLOOKUP(I116,PAGO2,5,FALSE)</f>
        <v>4000000</v>
      </c>
      <c r="M116" s="72">
        <f>VLOOKUP(I116,PAGO3,5,FALSE)</f>
        <v>4000000</v>
      </c>
      <c r="O116" s="52" t="str">
        <f>VLOOKUP(I116,RANGOPAGOS5,7,FALSE)</f>
        <v>$ 4.000.000</v>
      </c>
      <c r="P116" s="52" t="str">
        <f>VLOOKUP(I116,RANGOPAGOS6,7,FALSE)</f>
        <v>$ 4.000.000,00</v>
      </c>
      <c r="Z116" s="72">
        <f t="shared" si="1"/>
        <v>12000000</v>
      </c>
    </row>
    <row r="117">
      <c r="A117" s="52" t="s">
        <v>581</v>
      </c>
      <c r="B117" s="52" t="s">
        <v>2836</v>
      </c>
      <c r="C117" s="52" t="s">
        <v>32</v>
      </c>
      <c r="D117" s="52" t="s">
        <v>6010</v>
      </c>
      <c r="E117" s="52" t="s">
        <v>583</v>
      </c>
      <c r="F117" s="52" t="s">
        <v>554</v>
      </c>
      <c r="G117" s="52" t="s">
        <v>555</v>
      </c>
      <c r="H117" s="52" t="s">
        <v>556</v>
      </c>
      <c r="I117" s="52">
        <v>1.07413537E9</v>
      </c>
      <c r="J117" s="117" t="s">
        <v>1684</v>
      </c>
      <c r="K117" s="72">
        <f>VLOOKUP(F117,PAGO1,7,FALSE)</f>
        <v>1554770</v>
      </c>
      <c r="L117" s="72">
        <f>VLOOKUP(I117,PAGO2,5,FALSE)</f>
        <v>6663300</v>
      </c>
      <c r="M117" s="72">
        <f>VLOOKUP(I117,PAGO3,5,FALSE)</f>
        <v>6663300</v>
      </c>
      <c r="O117" s="52" t="str">
        <f>VLOOKUP(I117,RANGOPAGOS5,7,FALSE)</f>
        <v>$ 6.663.300</v>
      </c>
      <c r="P117" s="52" t="str">
        <f>VLOOKUP(I117,RANGOPAGOS6,7,FALSE)</f>
        <v>$ 6.663.300,00</v>
      </c>
      <c r="Z117" s="72">
        <f t="shared" si="1"/>
        <v>14881370</v>
      </c>
    </row>
    <row r="118">
      <c r="A118" s="52" t="s">
        <v>581</v>
      </c>
      <c r="B118" s="52" t="s">
        <v>2846</v>
      </c>
      <c r="C118" s="52" t="s">
        <v>32</v>
      </c>
      <c r="D118" s="52" t="s">
        <v>6011</v>
      </c>
      <c r="E118" s="52" t="s">
        <v>583</v>
      </c>
      <c r="F118" s="52" t="s">
        <v>1685</v>
      </c>
      <c r="G118" s="52" t="s">
        <v>559</v>
      </c>
      <c r="H118" s="52" t="s">
        <v>1686</v>
      </c>
      <c r="I118" s="52">
        <v>1.144099527E9</v>
      </c>
      <c r="J118" s="117" t="s">
        <v>1527</v>
      </c>
      <c r="K118" s="52" t="str">
        <f>VLOOKUP(F118,PAGO1,7,FALSE)</f>
        <v>#N/A</v>
      </c>
      <c r="L118" s="72">
        <f>VLOOKUP(I118,PAGO2,5,FALSE)</f>
        <v>4374300</v>
      </c>
      <c r="M118" s="72">
        <f>VLOOKUP(I118,PAGO3,5,FALSE)</f>
        <v>4374300</v>
      </c>
      <c r="O118" s="52" t="str">
        <f>VLOOKUP(I118,RANGOPAGOS5,7,FALSE)</f>
        <v>$ 4.374.300</v>
      </c>
      <c r="P118" s="52" t="str">
        <f>VLOOKUP(I118,RANGOPAGOS6,7,FALSE)</f>
        <v>$ 4.374.300,00</v>
      </c>
      <c r="Z118" s="52" t="str">
        <f t="shared" si="1"/>
        <v>#N/A</v>
      </c>
    </row>
    <row r="119">
      <c r="A119" s="52" t="s">
        <v>581</v>
      </c>
      <c r="B119" s="52" t="s">
        <v>2854</v>
      </c>
      <c r="C119" s="52" t="s">
        <v>32</v>
      </c>
      <c r="D119" s="52" t="s">
        <v>6012</v>
      </c>
      <c r="E119" s="52" t="s">
        <v>583</v>
      </c>
      <c r="F119" s="52" t="s">
        <v>563</v>
      </c>
      <c r="G119" s="52" t="s">
        <v>287</v>
      </c>
      <c r="H119" s="52" t="s">
        <v>1688</v>
      </c>
      <c r="I119" s="52">
        <v>1.100838461E9</v>
      </c>
      <c r="J119" s="117" t="s">
        <v>1564</v>
      </c>
      <c r="K119" s="72">
        <f>VLOOKUP(F119,PAGO1,7,FALSE)</f>
        <v>1718920</v>
      </c>
      <c r="L119" s="72">
        <f>VLOOKUP(I119,PAGO2,5,FALSE)</f>
        <v>7366800</v>
      </c>
      <c r="M119" s="72">
        <f>VLOOKUP(I119,PAGO3,5,FALSE)</f>
        <v>7366800</v>
      </c>
      <c r="O119" s="52" t="str">
        <f>VLOOKUP(I119,RANGOPAGOS5,7,FALSE)</f>
        <v>$ 7.366.800</v>
      </c>
      <c r="P119" s="52" t="str">
        <f>VLOOKUP(I119,RANGOPAGOS6,7,FALSE)</f>
        <v>$ 7.366.800,00</v>
      </c>
      <c r="Z119" s="72">
        <f t="shared" si="1"/>
        <v>16452520</v>
      </c>
    </row>
    <row r="120">
      <c r="A120" s="52" t="s">
        <v>581</v>
      </c>
      <c r="B120" s="52" t="s">
        <v>2860</v>
      </c>
      <c r="C120" s="52" t="s">
        <v>32</v>
      </c>
      <c r="D120" s="52" t="s">
        <v>6013</v>
      </c>
      <c r="E120" s="52" t="s">
        <v>583</v>
      </c>
      <c r="F120" s="52" t="s">
        <v>565</v>
      </c>
      <c r="G120" s="52" t="s">
        <v>555</v>
      </c>
      <c r="H120" s="52" t="s">
        <v>1690</v>
      </c>
      <c r="I120" s="52">
        <v>1.02235787E9</v>
      </c>
      <c r="J120" s="117" t="s">
        <v>1684</v>
      </c>
      <c r="K120" s="72">
        <f>VLOOKUP(F120,PAGO1,7,FALSE)</f>
        <v>1554770</v>
      </c>
      <c r="L120" s="72">
        <f>VLOOKUP(I120,PAGO2,5,FALSE)</f>
        <v>6663300</v>
      </c>
      <c r="M120" s="72">
        <f>VLOOKUP(I120,PAGO3,5,FALSE)</f>
        <v>6663300</v>
      </c>
      <c r="O120" s="52" t="str">
        <f>VLOOKUP(I120,RANGOPAGOS5,7,FALSE)</f>
        <v>$ 6.663.300</v>
      </c>
      <c r="P120" s="52" t="str">
        <f>VLOOKUP(I120,RANGOPAGOS6,7,FALSE)</f>
        <v>$ 6.663.300,00</v>
      </c>
      <c r="Z120" s="72">
        <f t="shared" si="1"/>
        <v>14881370</v>
      </c>
    </row>
    <row r="121">
      <c r="A121" s="52" t="s">
        <v>581</v>
      </c>
      <c r="B121" s="52" t="s">
        <v>2866</v>
      </c>
      <c r="C121" s="52" t="s">
        <v>32</v>
      </c>
      <c r="D121" s="52" t="s">
        <v>6014</v>
      </c>
      <c r="E121" s="52" t="s">
        <v>781</v>
      </c>
      <c r="F121" s="52" t="s">
        <v>568</v>
      </c>
      <c r="G121" s="52" t="s">
        <v>569</v>
      </c>
      <c r="H121" s="52" t="s">
        <v>570</v>
      </c>
      <c r="I121" s="52">
        <v>7.9434157E7</v>
      </c>
      <c r="J121" s="117" t="s">
        <v>1692</v>
      </c>
      <c r="K121" s="72">
        <f>VLOOKUP(F121,PAGO1,7,FALSE)</f>
        <v>933333</v>
      </c>
      <c r="L121" s="72">
        <f>VLOOKUP(I121,PAGO2,5,FALSE)</f>
        <v>4000000</v>
      </c>
      <c r="M121" s="72">
        <f>VLOOKUP(I121,PAGO3,5,FALSE)</f>
        <v>4000000</v>
      </c>
      <c r="O121" s="52" t="str">
        <f>VLOOKUP(I121,RANGOPAGOS5,7,FALSE)</f>
        <v>$ 4.000.000</v>
      </c>
      <c r="P121" s="52" t="str">
        <f>VLOOKUP(I121,RANGOPAGOS6,7,FALSE)</f>
        <v>$ 4.000.000,00</v>
      </c>
      <c r="Z121" s="72">
        <f t="shared" si="1"/>
        <v>8933333</v>
      </c>
    </row>
    <row r="122">
      <c r="A122" s="52"/>
      <c r="B122" s="52" t="s">
        <v>2872</v>
      </c>
      <c r="C122" s="52" t="s">
        <v>32</v>
      </c>
      <c r="D122" s="52" t="s">
        <v>6015</v>
      </c>
      <c r="E122" s="52"/>
      <c r="F122" s="52">
        <v>45681.0</v>
      </c>
      <c r="G122" s="52"/>
      <c r="H122" s="52" t="s">
        <v>2041</v>
      </c>
      <c r="I122" s="52">
        <v>8.0813888E7</v>
      </c>
      <c r="J122" s="117"/>
      <c r="K122" s="52" t="str">
        <f>VLOOKUP(F122,PAGO1,7,FALSE)</f>
        <v>#N/A</v>
      </c>
      <c r="L122" s="52" t="str">
        <f>VLOOKUP(I122,PAGO2,5,FALSE)</f>
        <v>#N/A</v>
      </c>
      <c r="M122" s="52" t="str">
        <f>VLOOKUP(I122,PAGO3,5,FALSE)</f>
        <v>#N/A</v>
      </c>
      <c r="O122" s="52" t="str">
        <f>VLOOKUP(I122,RANGOPAGOS5,7,FALSE)</f>
        <v>#N/A</v>
      </c>
      <c r="P122" s="52" t="str">
        <f>VLOOKUP(I122,RANGOPAGOS6,7,FALSE)</f>
        <v>#N/A</v>
      </c>
      <c r="Z122" s="52" t="str">
        <f t="shared" si="1"/>
        <v>#N/A</v>
      </c>
    </row>
    <row r="123">
      <c r="A123" s="52" t="s">
        <v>581</v>
      </c>
      <c r="B123" s="52" t="s">
        <v>2879</v>
      </c>
      <c r="C123" s="52" t="s">
        <v>32</v>
      </c>
      <c r="D123" s="52" t="s">
        <v>6016</v>
      </c>
      <c r="E123" s="52" t="s">
        <v>583</v>
      </c>
      <c r="F123" s="52" t="s">
        <v>573</v>
      </c>
      <c r="G123" s="52" t="s">
        <v>1694</v>
      </c>
      <c r="H123" s="52" t="s">
        <v>1693</v>
      </c>
      <c r="I123" s="52">
        <v>1.015393939E9</v>
      </c>
      <c r="J123" s="117" t="s">
        <v>1696</v>
      </c>
      <c r="K123" s="72">
        <f>VLOOKUP(F123,PAGO1,7,FALSE)</f>
        <v>1389080</v>
      </c>
      <c r="L123" s="72">
        <f>VLOOKUP(I123,PAGO2,5,FALSE)</f>
        <v>10418100</v>
      </c>
      <c r="M123" s="72">
        <f>VLOOKUP(I123,PAGO3,5,FALSE)</f>
        <v>10418100</v>
      </c>
      <c r="O123" s="52" t="str">
        <f>VLOOKUP(I123,RANGOPAGOS5,7,FALSE)</f>
        <v>$ 10.418.100</v>
      </c>
      <c r="P123" s="52" t="str">
        <f>VLOOKUP(I123,RANGOPAGOS6,7,FALSE)</f>
        <v>$ 10.418.100,00</v>
      </c>
      <c r="Z123" s="72">
        <f t="shared" si="1"/>
        <v>22225280</v>
      </c>
    </row>
    <row r="124">
      <c r="A124" s="52" t="s">
        <v>581</v>
      </c>
      <c r="B124" s="52" t="s">
        <v>2888</v>
      </c>
      <c r="C124" s="52" t="s">
        <v>32</v>
      </c>
      <c r="D124" s="52" t="s">
        <v>6017</v>
      </c>
      <c r="E124" s="52" t="s">
        <v>583</v>
      </c>
      <c r="F124" s="52" t="s">
        <v>578</v>
      </c>
      <c r="G124" s="52" t="s">
        <v>579</v>
      </c>
      <c r="H124" s="52" t="s">
        <v>1697</v>
      </c>
      <c r="I124" s="52">
        <v>1.085897401E9</v>
      </c>
      <c r="J124" s="117" t="s">
        <v>1699</v>
      </c>
      <c r="K124" s="72">
        <f>VLOOKUP(F124,PAGO1,7,FALSE)</f>
        <v>1680000</v>
      </c>
      <c r="L124" s="72">
        <f>VLOOKUP(I124,PAGO2,5,FALSE)</f>
        <v>7200000</v>
      </c>
      <c r="M124" s="72">
        <f>VLOOKUP(I124,PAGO3,5,FALSE)</f>
        <v>7200000</v>
      </c>
      <c r="O124" s="52" t="str">
        <f>VLOOKUP(I124,RANGOPAGOS5,7,FALSE)</f>
        <v>$ 7.200.000</v>
      </c>
      <c r="P124" s="52" t="str">
        <f>VLOOKUP(I124,RANGOPAGOS6,7,FALSE)</f>
        <v>$ 7.200.000,00</v>
      </c>
      <c r="Z124" s="72">
        <f t="shared" si="1"/>
        <v>16080000</v>
      </c>
    </row>
    <row r="125">
      <c r="A125" s="52" t="s">
        <v>581</v>
      </c>
      <c r="B125" s="52" t="s">
        <v>582</v>
      </c>
      <c r="C125" s="52" t="s">
        <v>32</v>
      </c>
      <c r="D125" s="52" t="s">
        <v>6018</v>
      </c>
      <c r="E125" s="52" t="s">
        <v>583</v>
      </c>
      <c r="F125" s="52" t="s">
        <v>584</v>
      </c>
      <c r="G125" s="52" t="s">
        <v>585</v>
      </c>
      <c r="H125" s="52" t="s">
        <v>586</v>
      </c>
      <c r="I125" s="52">
        <v>8.0724862E7</v>
      </c>
      <c r="J125" s="117" t="s">
        <v>1696</v>
      </c>
      <c r="K125" s="72">
        <f>VLOOKUP(F125,PAGO1,7,FALSE)</f>
        <v>1389080</v>
      </c>
      <c r="L125" s="72">
        <f>VLOOKUP(I125,PAGO2,5,FALSE)</f>
        <v>10418100</v>
      </c>
      <c r="M125" s="72">
        <f>VLOOKUP(I125,PAGO3,5,FALSE)</f>
        <v>10418100</v>
      </c>
      <c r="O125" s="52" t="str">
        <f>VLOOKUP(I125,RANGOPAGOS5,7,FALSE)</f>
        <v>$ 10.418.100</v>
      </c>
      <c r="P125" s="52" t="str">
        <f>VLOOKUP(I125,RANGOPAGOS6,7,FALSE)</f>
        <v>$ 10.418.100,00</v>
      </c>
      <c r="Z125" s="72">
        <f t="shared" si="1"/>
        <v>22225280</v>
      </c>
    </row>
    <row r="126">
      <c r="A126" s="52" t="s">
        <v>581</v>
      </c>
      <c r="B126" s="52" t="s">
        <v>589</v>
      </c>
      <c r="C126" s="52" t="s">
        <v>32</v>
      </c>
      <c r="D126" s="52" t="s">
        <v>6019</v>
      </c>
      <c r="E126" s="52" t="s">
        <v>583</v>
      </c>
      <c r="F126" s="52" t="s">
        <v>590</v>
      </c>
      <c r="G126" s="52" t="s">
        <v>591</v>
      </c>
      <c r="H126" s="52" t="s">
        <v>592</v>
      </c>
      <c r="I126" s="52">
        <v>8.0797794E7</v>
      </c>
      <c r="J126" s="117" t="s">
        <v>1700</v>
      </c>
      <c r="K126" s="72">
        <f>VLOOKUP(F126,PAGO1,7,FALSE)</f>
        <v>800000</v>
      </c>
      <c r="L126" s="72">
        <f>VLOOKUP(I126,PAGO2,5,FALSE)</f>
        <v>6000000</v>
      </c>
      <c r="M126" s="72">
        <f>VLOOKUP(I126,PAGO3,5,FALSE)</f>
        <v>6000000</v>
      </c>
      <c r="O126" s="52" t="str">
        <f>VLOOKUP(I126,RANGOPAGOS5,7,FALSE)</f>
        <v>$ 6.000.000</v>
      </c>
      <c r="P126" s="52" t="str">
        <f>VLOOKUP(I126,RANGOPAGOS6,7,FALSE)</f>
        <v>$ 6.000.000,00</v>
      </c>
      <c r="Z126" s="72">
        <f t="shared" si="1"/>
        <v>12800000</v>
      </c>
    </row>
    <row r="127">
      <c r="A127" s="52" t="s">
        <v>581</v>
      </c>
      <c r="B127" s="52" t="s">
        <v>594</v>
      </c>
      <c r="C127" s="52" t="s">
        <v>32</v>
      </c>
      <c r="D127" s="52" t="s">
        <v>6020</v>
      </c>
      <c r="E127" s="52" t="s">
        <v>583</v>
      </c>
      <c r="F127" s="52" t="s">
        <v>595</v>
      </c>
      <c r="G127" s="52" t="s">
        <v>596</v>
      </c>
      <c r="H127" s="52" t="s">
        <v>597</v>
      </c>
      <c r="I127" s="52">
        <v>5.312276E7</v>
      </c>
      <c r="J127" s="117" t="s">
        <v>1702</v>
      </c>
      <c r="K127" s="72">
        <f>VLOOKUP(F127,PAGO1,7,FALSE)</f>
        <v>830000</v>
      </c>
      <c r="L127" s="72">
        <f>VLOOKUP(I127,PAGO2,5,FALSE)</f>
        <v>8300000</v>
      </c>
      <c r="M127" s="72">
        <f>VLOOKUP(I127,PAGO3,5,FALSE)</f>
        <v>8300000</v>
      </c>
      <c r="O127" s="52" t="str">
        <f>VLOOKUP(I127,RANGOPAGOS5,7,FALSE)</f>
        <v>$ 8.300.000</v>
      </c>
      <c r="P127" s="52" t="str">
        <f>VLOOKUP(I127,RANGOPAGOS6,7,FALSE)</f>
        <v>$ 8.300.000,00</v>
      </c>
      <c r="Z127" s="72">
        <f t="shared" si="1"/>
        <v>17430000</v>
      </c>
    </row>
    <row r="128">
      <c r="A128" s="52" t="s">
        <v>581</v>
      </c>
      <c r="B128" s="52" t="s">
        <v>598</v>
      </c>
      <c r="C128" s="52" t="s">
        <v>32</v>
      </c>
      <c r="D128" s="52" t="s">
        <v>6021</v>
      </c>
      <c r="E128" s="52" t="s">
        <v>583</v>
      </c>
      <c r="F128" s="52" t="s">
        <v>599</v>
      </c>
      <c r="G128" s="52" t="s">
        <v>600</v>
      </c>
      <c r="H128" s="52" t="s">
        <v>601</v>
      </c>
      <c r="I128" s="52">
        <v>8.005725E7</v>
      </c>
      <c r="J128" s="117" t="s">
        <v>1635</v>
      </c>
      <c r="K128" s="72">
        <f>VLOOKUP(F128,PAGO1,7,FALSE)</f>
        <v>790667</v>
      </c>
      <c r="L128" s="72">
        <f>VLOOKUP(I128,PAGO2,5,FALSE)</f>
        <v>5930000</v>
      </c>
      <c r="M128" s="72">
        <f>VLOOKUP(I128,PAGO3,5,FALSE)</f>
        <v>5930000</v>
      </c>
      <c r="O128" s="52" t="str">
        <f>VLOOKUP(I128,RANGOPAGOS5,7,FALSE)</f>
        <v>$ 5.930.000</v>
      </c>
      <c r="P128" s="52" t="str">
        <f>VLOOKUP(I128,RANGOPAGOS6,7,FALSE)</f>
        <v>$ 5.930.000,00</v>
      </c>
      <c r="Z128" s="72">
        <f t="shared" si="1"/>
        <v>12650667</v>
      </c>
    </row>
    <row r="129">
      <c r="A129" s="52" t="s">
        <v>581</v>
      </c>
      <c r="B129" s="52" t="s">
        <v>602</v>
      </c>
      <c r="C129" s="52" t="s">
        <v>32</v>
      </c>
      <c r="D129" s="52" t="s">
        <v>6022</v>
      </c>
      <c r="E129" s="52" t="s">
        <v>583</v>
      </c>
      <c r="F129" s="52" t="s">
        <v>603</v>
      </c>
      <c r="G129" s="52" t="s">
        <v>604</v>
      </c>
      <c r="H129" s="52" t="s">
        <v>2756</v>
      </c>
      <c r="I129" s="52">
        <v>1.095809712E9</v>
      </c>
      <c r="J129" s="117" t="s">
        <v>1706</v>
      </c>
      <c r="K129" s="72">
        <f>VLOOKUP(F129,PAGO1,7,FALSE)</f>
        <v>603333</v>
      </c>
      <c r="L129" s="72">
        <f>VLOOKUP(I129,PAGO2,5,FALSE)</f>
        <v>4525000</v>
      </c>
      <c r="M129" s="72">
        <f>VLOOKUP(I129,PAGO3,5,FALSE)</f>
        <v>1810000</v>
      </c>
      <c r="O129" s="52" t="str">
        <f>VLOOKUP(I129,RANGOPAGOS5,7,FALSE)</f>
        <v>#N/A</v>
      </c>
      <c r="P129" s="52" t="str">
        <f>VLOOKUP(I129,RANGOPAGOS6,7,FALSE)</f>
        <v>#N/A</v>
      </c>
      <c r="Z129" s="52" t="str">
        <f t="shared" si="1"/>
        <v>#N/A</v>
      </c>
    </row>
    <row r="130">
      <c r="A130" s="52"/>
      <c r="B130" s="52" t="s">
        <v>2926</v>
      </c>
      <c r="C130" s="52" t="s">
        <v>32</v>
      </c>
      <c r="D130" s="52" t="s">
        <v>6023</v>
      </c>
      <c r="E130" s="52"/>
      <c r="F130" s="52">
        <v>45684.0</v>
      </c>
      <c r="G130" s="52"/>
      <c r="H130" s="52" t="s">
        <v>1475</v>
      </c>
      <c r="I130" s="52">
        <v>1.016047517E9</v>
      </c>
      <c r="J130" s="117"/>
      <c r="K130" s="52" t="str">
        <f>VLOOKUP(F130,PAGO1,7,FALSE)</f>
        <v>#N/A</v>
      </c>
      <c r="L130" s="52" t="str">
        <f>VLOOKUP(I130,PAGO2,5,FALSE)</f>
        <v>#N/A</v>
      </c>
      <c r="M130" s="52" t="str">
        <f>VLOOKUP(I130,PAGO3,5,FALSE)</f>
        <v>#N/A</v>
      </c>
      <c r="O130" s="52" t="str">
        <f>VLOOKUP(I130,RANGOPAGOS5,7,FALSE)</f>
        <v>#N/A</v>
      </c>
      <c r="P130" s="52" t="str">
        <f>VLOOKUP(I130,RANGOPAGOS6,7,FALSE)</f>
        <v>#N/A</v>
      </c>
      <c r="Z130" s="52" t="str">
        <f t="shared" si="1"/>
        <v>#N/A</v>
      </c>
    </row>
    <row r="131">
      <c r="A131" s="52" t="s">
        <v>581</v>
      </c>
      <c r="B131" s="52" t="s">
        <v>608</v>
      </c>
      <c r="C131" s="52" t="s">
        <v>32</v>
      </c>
      <c r="D131" s="52" t="s">
        <v>6024</v>
      </c>
      <c r="E131" s="52" t="s">
        <v>583</v>
      </c>
      <c r="F131" s="52" t="s">
        <v>609</v>
      </c>
      <c r="G131" s="52" t="s">
        <v>610</v>
      </c>
      <c r="H131" s="52" t="s">
        <v>611</v>
      </c>
      <c r="I131" s="52">
        <v>1.233490485E9</v>
      </c>
      <c r="J131" s="117" t="s">
        <v>1707</v>
      </c>
      <c r="K131" s="72">
        <f>VLOOKUP(F131,PAGO1,7,FALSE)</f>
        <v>333333</v>
      </c>
      <c r="L131" s="72">
        <f>VLOOKUP(I131,PAGO2,5,FALSE)</f>
        <v>5000000</v>
      </c>
      <c r="M131" s="72">
        <f>VLOOKUP(I131,PAGO3,5,FALSE)</f>
        <v>5000000</v>
      </c>
      <c r="O131" s="52" t="str">
        <f>VLOOKUP(I131,RANGOPAGOS5,7,FALSE)</f>
        <v>$ 5.000.000</v>
      </c>
      <c r="P131" s="52" t="str">
        <f>VLOOKUP(I131,RANGOPAGOS6,7,FALSE)</f>
        <v>$ 5.000.000,00</v>
      </c>
      <c r="Z131" s="72">
        <f t="shared" si="1"/>
        <v>10333333</v>
      </c>
    </row>
    <row r="132">
      <c r="A132" s="52" t="s">
        <v>581</v>
      </c>
      <c r="B132" s="52" t="s">
        <v>612</v>
      </c>
      <c r="C132" s="52" t="s">
        <v>32</v>
      </c>
      <c r="D132" s="52" t="s">
        <v>6025</v>
      </c>
      <c r="E132" s="52" t="s">
        <v>583</v>
      </c>
      <c r="F132" s="52" t="s">
        <v>613</v>
      </c>
      <c r="G132" s="52" t="s">
        <v>600</v>
      </c>
      <c r="H132" s="52" t="s">
        <v>614</v>
      </c>
      <c r="I132" s="52">
        <v>1.073384272E9</v>
      </c>
      <c r="J132" s="117" t="s">
        <v>1708</v>
      </c>
      <c r="K132" s="72">
        <f>VLOOKUP(F132,PAGO1,7,FALSE)</f>
        <v>729733</v>
      </c>
      <c r="L132" s="72">
        <f>VLOOKUP(I132,PAGO2,5,FALSE)</f>
        <v>5473000</v>
      </c>
      <c r="M132" s="72">
        <f>VLOOKUP(I132,PAGO3,5,FALSE)</f>
        <v>5473000</v>
      </c>
      <c r="O132" s="52" t="str">
        <f>VLOOKUP(I132,RANGOPAGOS5,7,FALSE)</f>
        <v>$ 5.473.000</v>
      </c>
      <c r="P132" s="52" t="str">
        <f>VLOOKUP(I132,RANGOPAGOS6,7,FALSE)</f>
        <v>$ 5.473.000,00</v>
      </c>
      <c r="Z132" s="72">
        <f t="shared" si="1"/>
        <v>11675733</v>
      </c>
    </row>
    <row r="133">
      <c r="A133" s="52" t="s">
        <v>581</v>
      </c>
      <c r="B133" s="52" t="s">
        <v>615</v>
      </c>
      <c r="C133" s="52" t="s">
        <v>32</v>
      </c>
      <c r="D133" s="52" t="s">
        <v>6026</v>
      </c>
      <c r="E133" s="52" t="s">
        <v>583</v>
      </c>
      <c r="F133" s="52" t="s">
        <v>616</v>
      </c>
      <c r="G133" s="52" t="s">
        <v>617</v>
      </c>
      <c r="H133" s="52" t="s">
        <v>618</v>
      </c>
      <c r="I133" s="52">
        <v>1.010101135E9</v>
      </c>
      <c r="J133" s="117" t="s">
        <v>1711</v>
      </c>
      <c r="K133" s="72">
        <f>VLOOKUP(F133,PAGO1,7,FALSE)</f>
        <v>515900</v>
      </c>
      <c r="L133" s="72">
        <f>VLOOKUP(I133,PAGO2,5,FALSE)</f>
        <v>5159000</v>
      </c>
      <c r="M133" s="72">
        <f>VLOOKUP(I133,PAGO3,5,FALSE)</f>
        <v>5159000</v>
      </c>
      <c r="O133" s="52" t="str">
        <f>VLOOKUP(I133,RANGOPAGOS5,7,FALSE)</f>
        <v>$ 5.159.000</v>
      </c>
      <c r="P133" s="52" t="str">
        <f>VLOOKUP(I133,RANGOPAGOS6,7,FALSE)</f>
        <v>$ 5.159.000,00</v>
      </c>
      <c r="Z133" s="72">
        <f t="shared" si="1"/>
        <v>10833900</v>
      </c>
    </row>
    <row r="134">
      <c r="A134" s="52" t="s">
        <v>581</v>
      </c>
      <c r="B134" s="52" t="s">
        <v>620</v>
      </c>
      <c r="C134" s="52" t="s">
        <v>32</v>
      </c>
      <c r="D134" s="52" t="s">
        <v>6027</v>
      </c>
      <c r="E134" s="52" t="s">
        <v>583</v>
      </c>
      <c r="F134" s="52" t="s">
        <v>621</v>
      </c>
      <c r="G134" s="52" t="s">
        <v>622</v>
      </c>
      <c r="H134" s="52" t="s">
        <v>623</v>
      </c>
      <c r="I134" s="52">
        <v>1.096217701E9</v>
      </c>
      <c r="J134" s="117" t="s">
        <v>1713</v>
      </c>
      <c r="K134" s="72">
        <f>VLOOKUP(F134,PAGO1,7,FALSE)</f>
        <v>450000</v>
      </c>
      <c r="L134" s="72">
        <f>VLOOKUP(I134,PAGO2,5,FALSE)</f>
        <v>4500000</v>
      </c>
      <c r="M134" s="72">
        <f>VLOOKUP(I134,PAGO3,5,FALSE)</f>
        <v>4500000</v>
      </c>
      <c r="O134" s="52" t="str">
        <f>VLOOKUP(I134,RANGOPAGOS5,7,FALSE)</f>
        <v>$ 4.500.000</v>
      </c>
      <c r="P134" s="52" t="str">
        <f>VLOOKUP(I134,RANGOPAGOS6,7,FALSE)</f>
        <v>$ 4.500.000,00</v>
      </c>
      <c r="Z134" s="72">
        <f t="shared" si="1"/>
        <v>9450000</v>
      </c>
    </row>
    <row r="135">
      <c r="A135" s="52" t="s">
        <v>581</v>
      </c>
      <c r="B135" s="52" t="s">
        <v>625</v>
      </c>
      <c r="C135" s="52" t="s">
        <v>32</v>
      </c>
      <c r="D135" s="52" t="s">
        <v>6028</v>
      </c>
      <c r="E135" s="52" t="s">
        <v>583</v>
      </c>
      <c r="F135" s="52" t="s">
        <v>626</v>
      </c>
      <c r="G135" s="52" t="s">
        <v>627</v>
      </c>
      <c r="H135" s="52" t="s">
        <v>628</v>
      </c>
      <c r="I135" s="52">
        <v>1.032460931E9</v>
      </c>
      <c r="J135" s="117" t="s">
        <v>1714</v>
      </c>
      <c r="K135" s="72">
        <f>VLOOKUP(F135,PAGO1,7,FALSE)</f>
        <v>416190</v>
      </c>
      <c r="L135" s="72">
        <f>VLOOKUP(I135,PAGO2,5,FALSE)</f>
        <v>4161900</v>
      </c>
      <c r="M135" s="72">
        <f>VLOOKUP(I135,PAGO3,5,FALSE)</f>
        <v>4161900</v>
      </c>
      <c r="O135" s="52" t="str">
        <f>VLOOKUP(I135,RANGOPAGOS5,7,FALSE)</f>
        <v>$ 4.161.900</v>
      </c>
      <c r="P135" s="52" t="str">
        <f>VLOOKUP(I135,RANGOPAGOS6,7,FALSE)</f>
        <v>$ 4.161.900,00</v>
      </c>
      <c r="Z135" s="72">
        <f t="shared" si="1"/>
        <v>8739990</v>
      </c>
    </row>
    <row r="136">
      <c r="A136" s="52" t="s">
        <v>581</v>
      </c>
      <c r="B136" s="52" t="s">
        <v>629</v>
      </c>
      <c r="C136" s="52" t="s">
        <v>32</v>
      </c>
      <c r="D136" s="52" t="s">
        <v>6029</v>
      </c>
      <c r="E136" s="52" t="s">
        <v>583</v>
      </c>
      <c r="F136" s="52" t="s">
        <v>630</v>
      </c>
      <c r="G136" s="52" t="s">
        <v>631</v>
      </c>
      <c r="H136" s="52" t="s">
        <v>632</v>
      </c>
      <c r="I136" s="52">
        <v>1.01020469E9</v>
      </c>
      <c r="J136" s="117" t="s">
        <v>1718</v>
      </c>
      <c r="K136" s="52" t="str">
        <f>VLOOKUP(F136,PAGO1,7,FALSE)</f>
        <v>#N/A</v>
      </c>
      <c r="L136" s="72">
        <f>VLOOKUP(I136,PAGO2,5,FALSE)</f>
        <v>11700000</v>
      </c>
      <c r="M136" s="72">
        <f>VLOOKUP(I136,PAGO3,5,FALSE)</f>
        <v>13500000</v>
      </c>
      <c r="O136" s="52" t="str">
        <f>VLOOKUP(I136,RANGOPAGOS5,7,FALSE)</f>
        <v>$ 13.500.000</v>
      </c>
      <c r="P136" s="52" t="str">
        <f>VLOOKUP(I136,RANGOPAGOS6,7,FALSE)</f>
        <v>$ 13.500.000,00</v>
      </c>
      <c r="Z136" s="52" t="str">
        <f t="shared" si="1"/>
        <v>#N/A</v>
      </c>
    </row>
    <row r="137">
      <c r="A137" s="52" t="s">
        <v>581</v>
      </c>
      <c r="B137" s="52" t="s">
        <v>634</v>
      </c>
      <c r="C137" s="52" t="s">
        <v>32</v>
      </c>
      <c r="D137" s="52" t="s">
        <v>6030</v>
      </c>
      <c r="E137" s="52" t="s">
        <v>583</v>
      </c>
      <c r="F137" s="52" t="s">
        <v>635</v>
      </c>
      <c r="G137" s="52" t="s">
        <v>636</v>
      </c>
      <c r="H137" s="52" t="s">
        <v>637</v>
      </c>
      <c r="I137" s="52">
        <v>1.054679552E9</v>
      </c>
      <c r="J137" s="117" t="s">
        <v>1672</v>
      </c>
      <c r="K137" s="72">
        <f>VLOOKUP(F137,PAGO1,7,FALSE)</f>
        <v>982240</v>
      </c>
      <c r="L137" s="72">
        <f>VLOOKUP(I137,PAGO2,5,FALSE)</f>
        <v>7366800</v>
      </c>
      <c r="M137" s="72">
        <f>VLOOKUP(I137,PAGO3,5,FALSE)</f>
        <v>7366800</v>
      </c>
      <c r="O137" s="52" t="str">
        <f>VLOOKUP(I137,RANGOPAGOS5,7,FALSE)</f>
        <v>$ 7.366.800</v>
      </c>
      <c r="P137" s="52" t="str">
        <f>VLOOKUP(I137,RANGOPAGOS6,7,FALSE)</f>
        <v>$ 7.366.800,00</v>
      </c>
      <c r="Z137" s="72">
        <f t="shared" si="1"/>
        <v>15715840</v>
      </c>
    </row>
    <row r="138">
      <c r="A138" s="52" t="s">
        <v>581</v>
      </c>
      <c r="B138" s="52" t="s">
        <v>639</v>
      </c>
      <c r="C138" s="52" t="s">
        <v>32</v>
      </c>
      <c r="D138" s="52" t="s">
        <v>6031</v>
      </c>
      <c r="E138" s="52" t="s">
        <v>583</v>
      </c>
      <c r="F138" s="52" t="s">
        <v>640</v>
      </c>
      <c r="G138" s="52" t="s">
        <v>641</v>
      </c>
      <c r="H138" s="52" t="s">
        <v>642</v>
      </c>
      <c r="I138" s="52">
        <v>1.04962724E9</v>
      </c>
      <c r="J138" s="117" t="s">
        <v>1720</v>
      </c>
      <c r="K138" s="72">
        <f>VLOOKUP(F138,PAGO1,7,FALSE)</f>
        <v>417377</v>
      </c>
      <c r="L138" s="72">
        <f>VLOOKUP(I138,PAGO2,5,FALSE)</f>
        <v>6260650</v>
      </c>
      <c r="M138" s="72">
        <f>VLOOKUP(I138,PAGO3,5,FALSE)</f>
        <v>6260650</v>
      </c>
      <c r="O138" s="52" t="str">
        <f>VLOOKUP(I138,RANGOPAGOS5,7,FALSE)</f>
        <v>$ 6.260.650</v>
      </c>
      <c r="P138" s="52" t="str">
        <f>VLOOKUP(I138,RANGOPAGOS6,7,FALSE)</f>
        <v>$ 6.260.650,00</v>
      </c>
      <c r="Z138" s="72">
        <f t="shared" si="1"/>
        <v>12938677</v>
      </c>
    </row>
    <row r="139">
      <c r="A139" s="52" t="s">
        <v>581</v>
      </c>
      <c r="B139" s="52" t="s">
        <v>649</v>
      </c>
      <c r="C139" s="52" t="s">
        <v>32</v>
      </c>
      <c r="D139" s="52" t="s">
        <v>6032</v>
      </c>
      <c r="E139" s="52" t="s">
        <v>583</v>
      </c>
      <c r="F139" s="52" t="s">
        <v>650</v>
      </c>
      <c r="G139" s="52" t="s">
        <v>651</v>
      </c>
      <c r="H139" s="52" t="s">
        <v>652</v>
      </c>
      <c r="I139" s="52">
        <v>5.2382217E7</v>
      </c>
      <c r="J139" s="117" t="s">
        <v>1722</v>
      </c>
      <c r="K139" s="72">
        <f>VLOOKUP(F139,PAGO1,7,FALSE)</f>
        <v>624000</v>
      </c>
      <c r="L139" s="72">
        <f>VLOOKUP(I139,PAGO2,5,FALSE)</f>
        <v>6240000</v>
      </c>
      <c r="M139" s="72">
        <f>VLOOKUP(I139,PAGO3,5,FALSE)</f>
        <v>6240000</v>
      </c>
      <c r="O139" s="52" t="str">
        <f>VLOOKUP(I139,RANGOPAGOS5,7,FALSE)</f>
        <v>$ 6.240.000</v>
      </c>
      <c r="P139" s="52" t="str">
        <f>VLOOKUP(I139,RANGOPAGOS6,7,FALSE)</f>
        <v>$ 6.240.000,00</v>
      </c>
      <c r="Z139" s="72">
        <f t="shared" si="1"/>
        <v>13104000</v>
      </c>
    </row>
    <row r="140">
      <c r="A140" s="52" t="s">
        <v>581</v>
      </c>
      <c r="B140" s="52" t="s">
        <v>653</v>
      </c>
      <c r="C140" s="52" t="s">
        <v>32</v>
      </c>
      <c r="D140" s="52" t="s">
        <v>6033</v>
      </c>
      <c r="E140" s="52" t="s">
        <v>583</v>
      </c>
      <c r="F140" s="52" t="s">
        <v>654</v>
      </c>
      <c r="G140" s="52" t="s">
        <v>655</v>
      </c>
      <c r="H140" s="52" t="s">
        <v>656</v>
      </c>
      <c r="I140" s="52">
        <v>1.01428721E9</v>
      </c>
      <c r="J140" s="117" t="s">
        <v>1727</v>
      </c>
      <c r="K140" s="72">
        <f>VLOOKUP(F140,PAGO1,7,FALSE)</f>
        <v>701600</v>
      </c>
      <c r="L140" s="72">
        <f>VLOOKUP(I140,PAGO2,5,FALSE)</f>
        <v>7016000</v>
      </c>
      <c r="M140" s="72">
        <f>VLOOKUP(I140,PAGO3,5,FALSE)</f>
        <v>8087350</v>
      </c>
      <c r="O140" s="52" t="str">
        <f>VLOOKUP(I140,RANGOPAGOS5,7,FALSE)</f>
        <v>$ 7.016.000</v>
      </c>
      <c r="P140" s="52" t="str">
        <f>VLOOKUP(I140,RANGOPAGOS6,7,FALSE)</f>
        <v>$ 7.016.000,00</v>
      </c>
      <c r="Z140" s="72">
        <f t="shared" si="1"/>
        <v>15804950</v>
      </c>
    </row>
    <row r="141">
      <c r="A141" s="52" t="s">
        <v>581</v>
      </c>
      <c r="B141" s="52" t="s">
        <v>658</v>
      </c>
      <c r="C141" s="52" t="s">
        <v>32</v>
      </c>
      <c r="D141" s="52" t="s">
        <v>6034</v>
      </c>
      <c r="E141" s="52" t="s">
        <v>583</v>
      </c>
      <c r="F141" s="52" t="s">
        <v>659</v>
      </c>
      <c r="G141" s="52" t="s">
        <v>600</v>
      </c>
      <c r="H141" s="52" t="s">
        <v>660</v>
      </c>
      <c r="I141" s="52">
        <v>4.2145409E7</v>
      </c>
      <c r="J141" s="117" t="s">
        <v>1708</v>
      </c>
      <c r="K141" s="72">
        <f>VLOOKUP(F141,PAGO1,7,FALSE)</f>
        <v>547300</v>
      </c>
      <c r="L141" s="72">
        <f>VLOOKUP(I141,PAGO2,5,FALSE)</f>
        <v>5473000</v>
      </c>
      <c r="M141" s="72">
        <f>VLOOKUP(I141,PAGO3,5,FALSE)</f>
        <v>5473000</v>
      </c>
      <c r="O141" s="52" t="str">
        <f>VLOOKUP(I141,RANGOPAGOS5,7,FALSE)</f>
        <v>$ 5.473.000</v>
      </c>
      <c r="P141" s="52" t="str">
        <f>VLOOKUP(I141,RANGOPAGOS6,7,FALSE)</f>
        <v>#N/A</v>
      </c>
      <c r="Z141" s="52" t="str">
        <f t="shared" si="1"/>
        <v>#N/A</v>
      </c>
    </row>
    <row r="142">
      <c r="A142" s="52" t="s">
        <v>581</v>
      </c>
      <c r="B142" s="52" t="s">
        <v>662</v>
      </c>
      <c r="C142" s="52" t="s">
        <v>32</v>
      </c>
      <c r="D142" s="52" t="s">
        <v>6035</v>
      </c>
      <c r="E142" s="52" t="s">
        <v>583</v>
      </c>
      <c r="F142" s="52" t="s">
        <v>663</v>
      </c>
      <c r="G142" s="52" t="s">
        <v>664</v>
      </c>
      <c r="H142" s="52" t="s">
        <v>665</v>
      </c>
      <c r="I142" s="52">
        <v>1.019065789E9</v>
      </c>
      <c r="J142" s="117" t="s">
        <v>1728</v>
      </c>
      <c r="K142" s="72">
        <f>VLOOKUP(F142,PAGO1,7,FALSE)</f>
        <v>471184</v>
      </c>
      <c r="L142" s="72">
        <f>VLOOKUP(I142,PAGO2,5,FALSE)</f>
        <v>7067762</v>
      </c>
      <c r="M142" s="72">
        <f>VLOOKUP(I142,PAGO3,5,FALSE)</f>
        <v>7067762</v>
      </c>
      <c r="O142" s="52" t="str">
        <f>VLOOKUP(I142,RANGOPAGOS5,7,FALSE)</f>
        <v>$ 7.067.762</v>
      </c>
      <c r="P142" s="52" t="str">
        <f>VLOOKUP(I142,RANGOPAGOS6,7,FALSE)</f>
        <v>$ 7.067.762,00</v>
      </c>
      <c r="Z142" s="72">
        <f t="shared" si="1"/>
        <v>14606708</v>
      </c>
    </row>
    <row r="143">
      <c r="A143" s="52" t="s">
        <v>581</v>
      </c>
      <c r="B143" s="52" t="s">
        <v>668</v>
      </c>
      <c r="C143" s="52" t="s">
        <v>32</v>
      </c>
      <c r="D143" s="52" t="s">
        <v>6036</v>
      </c>
      <c r="E143" s="52" t="s">
        <v>583</v>
      </c>
      <c r="F143" s="52" t="s">
        <v>669</v>
      </c>
      <c r="G143" s="52" t="s">
        <v>670</v>
      </c>
      <c r="H143" s="52" t="s">
        <v>671</v>
      </c>
      <c r="I143" s="52">
        <v>7.9972544E7</v>
      </c>
      <c r="J143" s="117" t="s">
        <v>1730</v>
      </c>
      <c r="K143" s="72">
        <f>VLOOKUP(F143,PAGO1,7,FALSE)</f>
        <v>486000</v>
      </c>
      <c r="L143" s="72">
        <f>VLOOKUP(I143,PAGO2,5,FALSE)</f>
        <v>7290000</v>
      </c>
      <c r="M143" s="72">
        <f>VLOOKUP(I143,PAGO3,5,FALSE)</f>
        <v>7290000</v>
      </c>
      <c r="O143" s="52" t="str">
        <f>VLOOKUP(I143,RANGOPAGOS5,7,FALSE)</f>
        <v>$ 7.290.000</v>
      </c>
      <c r="P143" s="52" t="str">
        <f>VLOOKUP(I143,RANGOPAGOS6,7,FALSE)</f>
        <v>$ 7.290.000,00</v>
      </c>
      <c r="Z143" s="72">
        <f t="shared" si="1"/>
        <v>15066000</v>
      </c>
    </row>
    <row r="144">
      <c r="A144" s="52" t="s">
        <v>581</v>
      </c>
      <c r="B144" s="52" t="s">
        <v>673</v>
      </c>
      <c r="C144" s="52" t="s">
        <v>32</v>
      </c>
      <c r="D144" s="52" t="s">
        <v>6037</v>
      </c>
      <c r="E144" s="52" t="s">
        <v>583</v>
      </c>
      <c r="F144" s="52" t="s">
        <v>674</v>
      </c>
      <c r="G144" s="52" t="s">
        <v>675</v>
      </c>
      <c r="H144" s="52" t="s">
        <v>676</v>
      </c>
      <c r="I144" s="52">
        <v>1.020751785E9</v>
      </c>
      <c r="J144" s="117" t="s">
        <v>1732</v>
      </c>
      <c r="K144" s="72">
        <f>VLOOKUP(F144,PAGO1,7,FALSE)</f>
        <v>400000</v>
      </c>
      <c r="L144" s="72">
        <f>VLOOKUP(I144,PAGO2,5,FALSE)</f>
        <v>6000000</v>
      </c>
      <c r="M144" s="72">
        <f>VLOOKUP(I144,PAGO3,5,FALSE)</f>
        <v>6000000</v>
      </c>
      <c r="O144" s="52" t="str">
        <f>VLOOKUP(I144,RANGOPAGOS5,7,FALSE)</f>
        <v>$ 6.000.000</v>
      </c>
      <c r="P144" s="52" t="str">
        <f>VLOOKUP(I144,RANGOPAGOS6,7,FALSE)</f>
        <v>$ 6.000.000,00</v>
      </c>
      <c r="Z144" s="72">
        <f t="shared" si="1"/>
        <v>12400000</v>
      </c>
    </row>
    <row r="145">
      <c r="A145" s="52" t="s">
        <v>581</v>
      </c>
      <c r="B145" s="52" t="s">
        <v>677</v>
      </c>
      <c r="C145" s="52" t="s">
        <v>32</v>
      </c>
      <c r="D145" s="52" t="s">
        <v>6038</v>
      </c>
      <c r="E145" s="52" t="s">
        <v>583</v>
      </c>
      <c r="F145" s="52" t="s">
        <v>678</v>
      </c>
      <c r="G145" s="52" t="s">
        <v>679</v>
      </c>
      <c r="H145" s="52" t="s">
        <v>680</v>
      </c>
      <c r="I145" s="52">
        <v>1.024554244E9</v>
      </c>
      <c r="J145" s="117" t="s">
        <v>1733</v>
      </c>
      <c r="K145" s="72">
        <f>VLOOKUP(F145,PAGO1,7,FALSE)</f>
        <v>510000</v>
      </c>
      <c r="L145" s="72">
        <f>VLOOKUP(I145,PAGO2,5,FALSE)</f>
        <v>5100000</v>
      </c>
      <c r="M145" s="72">
        <f>VLOOKUP(I145,PAGO3,5,FALSE)</f>
        <v>5100000</v>
      </c>
      <c r="O145" s="52" t="str">
        <f>VLOOKUP(I145,RANGOPAGOS5,7,FALSE)</f>
        <v>$ 5.100.000</v>
      </c>
      <c r="P145" s="52" t="str">
        <f>VLOOKUP(I145,RANGOPAGOS6,7,FALSE)</f>
        <v>$ 5.100.000,00</v>
      </c>
      <c r="Z145" s="72">
        <f t="shared" si="1"/>
        <v>10710000</v>
      </c>
    </row>
    <row r="146">
      <c r="A146" s="52" t="s">
        <v>581</v>
      </c>
      <c r="B146" s="52" t="s">
        <v>681</v>
      </c>
      <c r="C146" s="52" t="s">
        <v>32</v>
      </c>
      <c r="D146" s="52" t="s">
        <v>6039</v>
      </c>
      <c r="E146" s="52" t="s">
        <v>583</v>
      </c>
      <c r="F146" s="52" t="s">
        <v>682</v>
      </c>
      <c r="G146" s="52" t="s">
        <v>683</v>
      </c>
      <c r="H146" s="52" t="s">
        <v>684</v>
      </c>
      <c r="I146" s="52">
        <v>5.3134639E7</v>
      </c>
      <c r="J146" s="117" t="s">
        <v>1735</v>
      </c>
      <c r="K146" s="72">
        <f>VLOOKUP(F146,PAGO1,7,FALSE)</f>
        <v>900000</v>
      </c>
      <c r="L146" s="72">
        <f>VLOOKUP(I146,PAGO2,5,FALSE)</f>
        <v>9000000</v>
      </c>
      <c r="M146" s="72">
        <f>VLOOKUP(I146,PAGO3,5,FALSE)</f>
        <v>9000000</v>
      </c>
      <c r="O146" s="52" t="str">
        <f>VLOOKUP(I146,RANGOPAGOS5,7,FALSE)</f>
        <v>$ 9.000.000</v>
      </c>
      <c r="P146" s="52" t="str">
        <f>VLOOKUP(I146,RANGOPAGOS6,7,FALSE)</f>
        <v>$ 9.000.000,00</v>
      </c>
      <c r="Z146" s="72">
        <f t="shared" si="1"/>
        <v>18900000</v>
      </c>
    </row>
    <row r="147">
      <c r="A147" s="52" t="s">
        <v>581</v>
      </c>
      <c r="B147" s="52" t="s">
        <v>686</v>
      </c>
      <c r="C147" s="52" t="s">
        <v>32</v>
      </c>
      <c r="D147" s="52" t="s">
        <v>6040</v>
      </c>
      <c r="E147" s="52" t="s">
        <v>583</v>
      </c>
      <c r="F147" s="52" t="s">
        <v>687</v>
      </c>
      <c r="G147" s="52" t="s">
        <v>688</v>
      </c>
      <c r="H147" s="52" t="s">
        <v>689</v>
      </c>
      <c r="I147" s="52">
        <v>1.069759231E9</v>
      </c>
      <c r="J147" s="117" t="s">
        <v>1736</v>
      </c>
      <c r="K147" s="72">
        <f>VLOOKUP(F147,PAGO1,7,FALSE)</f>
        <v>529480</v>
      </c>
      <c r="L147" s="72">
        <f>VLOOKUP(I147,PAGO2,5,FALSE)</f>
        <v>7942200</v>
      </c>
      <c r="M147" s="72">
        <f>VLOOKUP(I147,PAGO3,5,FALSE)</f>
        <v>7942200</v>
      </c>
      <c r="O147" s="52" t="str">
        <f>VLOOKUP(I147,RANGOPAGOS5,7,FALSE)</f>
        <v>$ 7.942.200</v>
      </c>
      <c r="P147" s="52" t="str">
        <f>VLOOKUP(I147,RANGOPAGOS6,7,FALSE)</f>
        <v>$ 7.942.200,00</v>
      </c>
      <c r="Z147" s="72">
        <f t="shared" si="1"/>
        <v>16413880</v>
      </c>
    </row>
    <row r="148">
      <c r="A148" s="52" t="s">
        <v>581</v>
      </c>
      <c r="B148" s="52" t="s">
        <v>690</v>
      </c>
      <c r="C148" s="52" t="s">
        <v>32</v>
      </c>
      <c r="D148" s="52" t="s">
        <v>6041</v>
      </c>
      <c r="E148" s="52" t="s">
        <v>583</v>
      </c>
      <c r="F148" s="52" t="s">
        <v>691</v>
      </c>
      <c r="G148" s="52" t="s">
        <v>692</v>
      </c>
      <c r="H148" s="52" t="s">
        <v>693</v>
      </c>
      <c r="I148" s="52">
        <v>1.13065411E9</v>
      </c>
      <c r="J148" s="117" t="s">
        <v>1735</v>
      </c>
      <c r="K148" s="72">
        <f>VLOOKUP(F148,PAGO1,7,FALSE)</f>
        <v>600000</v>
      </c>
      <c r="L148" s="72">
        <f>VLOOKUP(I148,PAGO2,5,FALSE)</f>
        <v>9000000</v>
      </c>
      <c r="M148" s="72">
        <f>VLOOKUP(I148,PAGO3,5,FALSE)</f>
        <v>9000000</v>
      </c>
      <c r="O148" s="52" t="str">
        <f>VLOOKUP(I148,RANGOPAGOS5,7,FALSE)</f>
        <v>$ 9.000.000</v>
      </c>
      <c r="P148" s="52" t="str">
        <f>VLOOKUP(I148,RANGOPAGOS6,7,FALSE)</f>
        <v>#N/A</v>
      </c>
      <c r="Z148" s="52" t="str">
        <f t="shared" si="1"/>
        <v>#N/A</v>
      </c>
    </row>
    <row r="149">
      <c r="A149" s="52" t="s">
        <v>581</v>
      </c>
      <c r="B149" s="52" t="s">
        <v>694</v>
      </c>
      <c r="C149" s="52" t="s">
        <v>32</v>
      </c>
      <c r="D149" s="52" t="s">
        <v>6042</v>
      </c>
      <c r="E149" s="52" t="s">
        <v>583</v>
      </c>
      <c r="F149" s="52" t="s">
        <v>695</v>
      </c>
      <c r="G149" s="52" t="s">
        <v>696</v>
      </c>
      <c r="H149" s="52" t="s">
        <v>697</v>
      </c>
      <c r="I149" s="52">
        <v>1.032414974E9</v>
      </c>
      <c r="J149" s="117" t="s">
        <v>1627</v>
      </c>
      <c r="K149" s="52" t="str">
        <f>VLOOKUP(F149,PAGO1,7,FALSE)</f>
        <v>#N/A</v>
      </c>
      <c r="L149" s="72">
        <f>VLOOKUP(I149,PAGO2,5,FALSE)</f>
        <v>3900000</v>
      </c>
      <c r="M149" s="72">
        <f>VLOOKUP(I149,PAGO3,5,FALSE)</f>
        <v>4500000</v>
      </c>
      <c r="O149" s="52" t="str">
        <f>VLOOKUP(I149,RANGOPAGOS5,7,FALSE)</f>
        <v>$ 4.500.000</v>
      </c>
      <c r="P149" s="52" t="str">
        <f>VLOOKUP(I149,RANGOPAGOS6,7,FALSE)</f>
        <v>$ 4.500.000,00</v>
      </c>
      <c r="Z149" s="52" t="str">
        <f t="shared" si="1"/>
        <v>#N/A</v>
      </c>
    </row>
    <row r="150">
      <c r="A150" s="52" t="s">
        <v>581</v>
      </c>
      <c r="B150" s="52" t="s">
        <v>699</v>
      </c>
      <c r="C150" s="52" t="s">
        <v>32</v>
      </c>
      <c r="D150" s="52" t="s">
        <v>6043</v>
      </c>
      <c r="E150" s="52" t="s">
        <v>583</v>
      </c>
      <c r="F150" s="52" t="s">
        <v>700</v>
      </c>
      <c r="G150" s="52" t="s">
        <v>701</v>
      </c>
      <c r="H150" s="52" t="s">
        <v>702</v>
      </c>
      <c r="I150" s="52">
        <v>7.9217264E7</v>
      </c>
      <c r="J150" s="117" t="s">
        <v>1743</v>
      </c>
      <c r="K150" s="52" t="str">
        <f>VLOOKUP(F150,PAGO1,7,FALSE)</f>
        <v>#N/A</v>
      </c>
      <c r="L150" s="72">
        <f>VLOOKUP(I150,PAGO2,5,FALSE)</f>
        <v>4804000</v>
      </c>
      <c r="M150" s="72">
        <f>VLOOKUP(I150,PAGO3,5,FALSE)</f>
        <v>4804000</v>
      </c>
      <c r="O150" s="52" t="str">
        <f>VLOOKUP(I150,RANGOPAGOS5,7,FALSE)</f>
        <v>$ 4.804.000</v>
      </c>
      <c r="P150" s="52" t="str">
        <f>VLOOKUP(I150,RANGOPAGOS6,7,FALSE)</f>
        <v>$ 6.231.546,00</v>
      </c>
      <c r="Z150" s="52" t="str">
        <f t="shared" si="1"/>
        <v>#N/A</v>
      </c>
    </row>
    <row r="151">
      <c r="A151" s="52" t="s">
        <v>581</v>
      </c>
      <c r="B151" s="52" t="s">
        <v>703</v>
      </c>
      <c r="C151" s="52" t="s">
        <v>32</v>
      </c>
      <c r="D151" s="52" t="s">
        <v>6044</v>
      </c>
      <c r="E151" s="52" t="s">
        <v>583</v>
      </c>
      <c r="F151" s="52" t="s">
        <v>704</v>
      </c>
      <c r="G151" s="52" t="s">
        <v>705</v>
      </c>
      <c r="H151" s="52" t="s">
        <v>706</v>
      </c>
      <c r="I151" s="52">
        <v>1.052394569E9</v>
      </c>
      <c r="J151" s="117" t="s">
        <v>1745</v>
      </c>
      <c r="K151" s="52" t="str">
        <f>VLOOKUP(F151,PAGO1,7,FALSE)</f>
        <v>#N/A</v>
      </c>
      <c r="L151" s="72">
        <f>VLOOKUP(I151,PAGO2,5,FALSE)</f>
        <v>7296600</v>
      </c>
      <c r="M151" s="72">
        <f>VLOOKUP(I151,PAGO3,5,FALSE)</f>
        <v>7296600</v>
      </c>
      <c r="O151" s="52" t="str">
        <f>VLOOKUP(I151,RANGOPAGOS5,7,FALSE)</f>
        <v>$ 7.296.600</v>
      </c>
      <c r="P151" s="52" t="str">
        <f>VLOOKUP(I151,RANGOPAGOS6,7,FALSE)</f>
        <v>$ 7.296.600,00</v>
      </c>
      <c r="Z151" s="52" t="str">
        <f t="shared" si="1"/>
        <v>#N/A</v>
      </c>
    </row>
    <row r="152">
      <c r="A152" s="52" t="s">
        <v>581</v>
      </c>
      <c r="B152" s="52" t="s">
        <v>708</v>
      </c>
      <c r="C152" s="52" t="s">
        <v>32</v>
      </c>
      <c r="D152" s="52" t="s">
        <v>6045</v>
      </c>
      <c r="E152" s="52" t="s">
        <v>583</v>
      </c>
      <c r="F152" s="52" t="s">
        <v>709</v>
      </c>
      <c r="G152" s="52" t="s">
        <v>710</v>
      </c>
      <c r="H152" s="52" t="s">
        <v>711</v>
      </c>
      <c r="I152" s="52">
        <v>1.032461718E9</v>
      </c>
      <c r="J152" s="117" t="s">
        <v>1745</v>
      </c>
      <c r="K152" s="52" t="str">
        <f>VLOOKUP(F152,PAGO1,7,FALSE)</f>
        <v>#N/A</v>
      </c>
      <c r="L152" s="72">
        <f>VLOOKUP(I152,PAGO2,5,FALSE)</f>
        <v>7296600</v>
      </c>
      <c r="M152" s="72">
        <f>VLOOKUP(I152,PAGO3,5,FALSE)</f>
        <v>7296600</v>
      </c>
      <c r="O152" s="52" t="str">
        <f>VLOOKUP(I152,RANGOPAGOS5,7,FALSE)</f>
        <v>$ 7.296.600</v>
      </c>
      <c r="P152" s="52" t="str">
        <f>VLOOKUP(I152,RANGOPAGOS6,7,FALSE)</f>
        <v>$ 7.296.600,00</v>
      </c>
      <c r="Z152" s="52" t="str">
        <f t="shared" si="1"/>
        <v>#N/A</v>
      </c>
    </row>
    <row r="153">
      <c r="A153" s="52" t="s">
        <v>581</v>
      </c>
      <c r="B153" s="52" t="s">
        <v>713</v>
      </c>
      <c r="C153" s="52" t="s">
        <v>32</v>
      </c>
      <c r="D153" s="52" t="s">
        <v>6046</v>
      </c>
      <c r="E153" s="52" t="s">
        <v>583</v>
      </c>
      <c r="F153" s="52" t="s">
        <v>714</v>
      </c>
      <c r="G153" s="52" t="s">
        <v>715</v>
      </c>
      <c r="H153" s="52" t="s">
        <v>716</v>
      </c>
      <c r="I153" s="52">
        <v>1.128424536E9</v>
      </c>
      <c r="J153" s="117" t="s">
        <v>1745</v>
      </c>
      <c r="K153" s="52" t="str">
        <f>VLOOKUP(F153,PAGO1,7,FALSE)</f>
        <v>#N/A</v>
      </c>
      <c r="L153" s="72">
        <f>VLOOKUP(I153,PAGO2,5,FALSE)</f>
        <v>7296600</v>
      </c>
      <c r="M153" s="72">
        <f>VLOOKUP(I153,PAGO3,5,FALSE)</f>
        <v>7296600</v>
      </c>
      <c r="O153" s="52" t="str">
        <f>VLOOKUP(I153,RANGOPAGOS5,7,FALSE)</f>
        <v>$ 7.296.600</v>
      </c>
      <c r="P153" s="52" t="str">
        <f>VLOOKUP(I153,RANGOPAGOS6,7,FALSE)</f>
        <v>$ 7.296.600,00</v>
      </c>
      <c r="Z153" s="52" t="str">
        <f t="shared" si="1"/>
        <v>#N/A</v>
      </c>
    </row>
    <row r="154">
      <c r="A154" s="52" t="s">
        <v>581</v>
      </c>
      <c r="B154" s="52" t="s">
        <v>718</v>
      </c>
      <c r="C154" s="52" t="s">
        <v>32</v>
      </c>
      <c r="D154" s="52" t="s">
        <v>6047</v>
      </c>
      <c r="E154" s="52" t="s">
        <v>583</v>
      </c>
      <c r="F154" s="52" t="s">
        <v>719</v>
      </c>
      <c r="G154" s="52" t="s">
        <v>720</v>
      </c>
      <c r="H154" s="52" t="s">
        <v>721</v>
      </c>
      <c r="I154" s="52">
        <v>1.070963356E9</v>
      </c>
      <c r="J154" s="117" t="s">
        <v>1745</v>
      </c>
      <c r="K154" s="52" t="str">
        <f>VLOOKUP(F154,PAGO1,7,FALSE)</f>
        <v>#N/A</v>
      </c>
      <c r="L154" s="72">
        <f>VLOOKUP(I154,PAGO2,5,FALSE)</f>
        <v>7296600</v>
      </c>
      <c r="M154" s="72">
        <f>VLOOKUP(I154,PAGO3,5,FALSE)</f>
        <v>7296600</v>
      </c>
      <c r="O154" s="52" t="str">
        <f>VLOOKUP(I154,RANGOPAGOS5,7,FALSE)</f>
        <v>$ 7.296.600</v>
      </c>
      <c r="P154" s="52" t="str">
        <f>VLOOKUP(I154,RANGOPAGOS6,7,FALSE)</f>
        <v>$ 7.296.600,00</v>
      </c>
      <c r="Z154" s="52" t="str">
        <f t="shared" si="1"/>
        <v>#N/A</v>
      </c>
    </row>
    <row r="155">
      <c r="A155" s="52" t="s">
        <v>581</v>
      </c>
      <c r="B155" s="52" t="s">
        <v>722</v>
      </c>
      <c r="C155" s="52" t="s">
        <v>32</v>
      </c>
      <c r="D155" s="52" t="s">
        <v>6048</v>
      </c>
      <c r="E155" s="52" t="s">
        <v>583</v>
      </c>
      <c r="F155" s="52" t="s">
        <v>723</v>
      </c>
      <c r="G155" s="52" t="s">
        <v>724</v>
      </c>
      <c r="H155" s="52" t="s">
        <v>725</v>
      </c>
      <c r="I155" s="52">
        <v>1.1236019E7</v>
      </c>
      <c r="J155" s="117" t="s">
        <v>1746</v>
      </c>
      <c r="K155" s="52" t="str">
        <f>VLOOKUP(F155,PAGO1,7,FALSE)</f>
        <v>#N/A</v>
      </c>
      <c r="L155" s="72">
        <f>VLOOKUP(I155,PAGO2,5,FALSE)</f>
        <v>5746650</v>
      </c>
      <c r="M155" s="72">
        <f>VLOOKUP(I155,PAGO3,5,FALSE)</f>
        <v>5746650</v>
      </c>
      <c r="O155" s="52" t="str">
        <f>VLOOKUP(I155,RANGOPAGOS5,7,FALSE)</f>
        <v>$ 5.746.650</v>
      </c>
      <c r="P155" s="52" t="str">
        <f>VLOOKUP(I155,RANGOPAGOS6,7,FALSE)</f>
        <v>$ 5.746.650,00</v>
      </c>
      <c r="Z155" s="52" t="str">
        <f t="shared" si="1"/>
        <v>#N/A</v>
      </c>
    </row>
    <row r="156">
      <c r="A156" s="52" t="s">
        <v>581</v>
      </c>
      <c r="B156" s="52" t="s">
        <v>726</v>
      </c>
      <c r="C156" s="52" t="s">
        <v>32</v>
      </c>
      <c r="D156" s="52" t="s">
        <v>6049</v>
      </c>
      <c r="E156" s="52" t="s">
        <v>583</v>
      </c>
      <c r="F156" s="52" t="s">
        <v>727</v>
      </c>
      <c r="G156" s="52" t="s">
        <v>728</v>
      </c>
      <c r="H156" s="52" t="s">
        <v>729</v>
      </c>
      <c r="I156" s="52">
        <v>7.97447E7</v>
      </c>
      <c r="J156" s="117" t="s">
        <v>1749</v>
      </c>
      <c r="K156" s="52" t="str">
        <f>VLOOKUP(F156,PAGO1,7,FALSE)</f>
        <v>#N/A</v>
      </c>
      <c r="L156" s="72">
        <f>VLOOKUP(I156,PAGO2,5,FALSE)</f>
        <v>13207810</v>
      </c>
      <c r="M156" s="72">
        <f>VLOOKUP(I156,PAGO3,5,FALSE)</f>
        <v>13207810</v>
      </c>
      <c r="O156" s="52" t="str">
        <f>VLOOKUP(I156,RANGOPAGOS5,7,FALSE)</f>
        <v>$ 14.468.390</v>
      </c>
      <c r="P156" s="52" t="str">
        <f>VLOOKUP(I156,RANGOPAGOS6,7,FALSE)</f>
        <v>$ 13.442.756,00</v>
      </c>
      <c r="Z156" s="52" t="str">
        <f t="shared" si="1"/>
        <v>#N/A</v>
      </c>
    </row>
    <row r="157">
      <c r="A157" s="52" t="s">
        <v>581</v>
      </c>
      <c r="B157" s="52" t="s">
        <v>731</v>
      </c>
      <c r="C157" s="52" t="s">
        <v>32</v>
      </c>
      <c r="D157" s="52" t="s">
        <v>6050</v>
      </c>
      <c r="E157" s="52" t="s">
        <v>583</v>
      </c>
      <c r="F157" s="52" t="s">
        <v>732</v>
      </c>
      <c r="G157" s="52" t="s">
        <v>733</v>
      </c>
      <c r="H157" s="52" t="s">
        <v>734</v>
      </c>
      <c r="I157" s="52">
        <v>1.030564407E9</v>
      </c>
      <c r="J157" s="117" t="s">
        <v>1751</v>
      </c>
      <c r="K157" s="52" t="str">
        <f>VLOOKUP(F157,PAGO1,7,FALSE)</f>
        <v>#N/A</v>
      </c>
      <c r="L157" s="72">
        <f>VLOOKUP(I157,PAGO2,5,FALSE)</f>
        <v>7100000</v>
      </c>
      <c r="M157" s="72">
        <f>VLOOKUP(I157,PAGO3,5,FALSE)</f>
        <v>7100000</v>
      </c>
      <c r="O157" s="52" t="str">
        <f>VLOOKUP(I157,RANGOPAGOS5,7,FALSE)</f>
        <v>$ 7.100.000</v>
      </c>
      <c r="P157" s="52" t="str">
        <f>VLOOKUP(I157,RANGOPAGOS6,7,FALSE)</f>
        <v>$ 7.100.000,00</v>
      </c>
      <c r="Z157" s="52" t="str">
        <f t="shared" si="1"/>
        <v>#N/A</v>
      </c>
    </row>
    <row r="158">
      <c r="A158" s="52" t="s">
        <v>581</v>
      </c>
      <c r="B158" s="52" t="s">
        <v>735</v>
      </c>
      <c r="C158" s="52" t="s">
        <v>32</v>
      </c>
      <c r="D158" s="52" t="s">
        <v>6051</v>
      </c>
      <c r="E158" s="52" t="s">
        <v>583</v>
      </c>
      <c r="F158" s="52" t="s">
        <v>736</v>
      </c>
      <c r="G158" s="52" t="s">
        <v>737</v>
      </c>
      <c r="H158" s="52" t="s">
        <v>738</v>
      </c>
      <c r="I158" s="52">
        <v>1.057584892E9</v>
      </c>
      <c r="J158" s="117" t="s">
        <v>1755</v>
      </c>
      <c r="K158" s="52" t="str">
        <f>VLOOKUP(F158,PAGO1,7,FALSE)</f>
        <v>#N/A</v>
      </c>
      <c r="L158" s="72">
        <f>VLOOKUP(I158,PAGO2,5,FALSE)</f>
        <v>10418100</v>
      </c>
      <c r="M158" s="72">
        <f>VLOOKUP(I158,PAGO3,5,FALSE)</f>
        <v>10418100</v>
      </c>
      <c r="O158" s="52" t="str">
        <f>VLOOKUP(I158,RANGOPAGOS5,7,FALSE)</f>
        <v>$ 10.960.137</v>
      </c>
      <c r="P158" s="52" t="str">
        <f>VLOOKUP(I158,RANGOPAGOS6,7,FALSE)</f>
        <v>$ 10.418.100,00</v>
      </c>
      <c r="Z158" s="52" t="str">
        <f t="shared" si="1"/>
        <v>#N/A</v>
      </c>
    </row>
    <row r="159">
      <c r="A159" s="52" t="s">
        <v>581</v>
      </c>
      <c r="B159" s="52" t="s">
        <v>740</v>
      </c>
      <c r="C159" s="52" t="s">
        <v>32</v>
      </c>
      <c r="D159" s="52" t="s">
        <v>6052</v>
      </c>
      <c r="E159" s="52" t="s">
        <v>583</v>
      </c>
      <c r="F159" s="52" t="s">
        <v>741</v>
      </c>
      <c r="G159" s="52" t="s">
        <v>742</v>
      </c>
      <c r="H159" s="52" t="s">
        <v>743</v>
      </c>
      <c r="I159" s="52">
        <v>5.3000155E7</v>
      </c>
      <c r="J159" s="117" t="s">
        <v>1756</v>
      </c>
      <c r="K159" s="52" t="str">
        <f>VLOOKUP(F159,PAGO1,7,FALSE)</f>
        <v>#N/A</v>
      </c>
      <c r="L159" s="72">
        <f>VLOOKUP(I159,PAGO2,5,FALSE)</f>
        <v>10418100</v>
      </c>
      <c r="M159" s="72">
        <f>VLOOKUP(I159,PAGO3,5,FALSE)</f>
        <v>10418100</v>
      </c>
      <c r="O159" s="52" t="str">
        <f>VLOOKUP(I159,RANGOPAGOS5,7,FALSE)</f>
        <v>$ 10.418.100</v>
      </c>
      <c r="P159" s="52" t="str">
        <f>VLOOKUP(I159,RANGOPAGOS6,7,FALSE)</f>
        <v>$ 10.772.767,00</v>
      </c>
      <c r="Z159" s="52" t="str">
        <f t="shared" si="1"/>
        <v>#N/A</v>
      </c>
    </row>
    <row r="160">
      <c r="A160" s="52" t="s">
        <v>581</v>
      </c>
      <c r="B160" s="52" t="s">
        <v>745</v>
      </c>
      <c r="C160" s="52" t="s">
        <v>32</v>
      </c>
      <c r="D160" s="52" t="s">
        <v>6053</v>
      </c>
      <c r="E160" s="52" t="s">
        <v>583</v>
      </c>
      <c r="F160" s="52" t="s">
        <v>746</v>
      </c>
      <c r="G160" s="52" t="s">
        <v>747</v>
      </c>
      <c r="H160" s="52" t="s">
        <v>748</v>
      </c>
      <c r="I160" s="52">
        <v>5.2016453E7</v>
      </c>
      <c r="J160" s="117" t="s">
        <v>1759</v>
      </c>
      <c r="K160" s="52" t="str">
        <f>VLOOKUP(F160,PAGO1,7,FALSE)</f>
        <v>#N/A</v>
      </c>
      <c r="L160" s="72">
        <f>VLOOKUP(I160,PAGO2,5,FALSE)</f>
        <v>8997450</v>
      </c>
      <c r="M160" s="72">
        <f>VLOOKUP(I160,PAGO3,5,FALSE)</f>
        <v>8997450</v>
      </c>
      <c r="O160" s="52" t="str">
        <f>VLOOKUP(I160,RANGOPAGOS5,7,FALSE)</f>
        <v>$ 9.539.487</v>
      </c>
      <c r="P160" s="52" t="str">
        <f>VLOOKUP(I160,RANGOPAGOS6,7,FALSE)</f>
        <v>$ 8.997.450,00</v>
      </c>
      <c r="Z160" s="52" t="str">
        <f t="shared" si="1"/>
        <v>#N/A</v>
      </c>
    </row>
    <row r="161">
      <c r="A161" s="52" t="s">
        <v>581</v>
      </c>
      <c r="B161" s="52" t="s">
        <v>750</v>
      </c>
      <c r="C161" s="52" t="s">
        <v>32</v>
      </c>
      <c r="D161" s="52" t="s">
        <v>6054</v>
      </c>
      <c r="E161" s="52" t="s">
        <v>583</v>
      </c>
      <c r="F161" s="52" t="s">
        <v>751</v>
      </c>
      <c r="G161" s="52" t="s">
        <v>752</v>
      </c>
      <c r="H161" s="52" t="s">
        <v>753</v>
      </c>
      <c r="I161" s="52">
        <v>1.088351048E9</v>
      </c>
      <c r="J161" s="117" t="s">
        <v>1758</v>
      </c>
      <c r="K161" s="52" t="str">
        <f>VLOOKUP(F161,PAGO1,7,FALSE)</f>
        <v>#N/A</v>
      </c>
      <c r="L161" s="72">
        <f>VLOOKUP(I161,PAGO2,5,FALSE)</f>
        <v>8997450</v>
      </c>
      <c r="M161" s="72">
        <f>VLOOKUP(I161,PAGO3,5,FALSE)</f>
        <v>8997450</v>
      </c>
      <c r="O161" s="52" t="str">
        <f>VLOOKUP(I161,RANGOPAGOS5,7,FALSE)</f>
        <v>$ 8.997.450</v>
      </c>
      <c r="P161" s="52" t="str">
        <f>VLOOKUP(I161,RANGOPAGOS6,7,FALSE)</f>
        <v>$ 8.997.450,00</v>
      </c>
      <c r="Z161" s="52" t="str">
        <f t="shared" si="1"/>
        <v>#N/A</v>
      </c>
    </row>
    <row r="162">
      <c r="A162" s="52" t="s">
        <v>581</v>
      </c>
      <c r="B162" s="52" t="s">
        <v>754</v>
      </c>
      <c r="C162" s="52" t="s">
        <v>32</v>
      </c>
      <c r="D162" s="52" t="s">
        <v>6055</v>
      </c>
      <c r="E162" s="52" t="s">
        <v>583</v>
      </c>
      <c r="F162" s="52" t="s">
        <v>2974</v>
      </c>
      <c r="G162" s="52" t="s">
        <v>756</v>
      </c>
      <c r="H162" s="52" t="s">
        <v>757</v>
      </c>
      <c r="I162" s="52">
        <v>1.016068292E9</v>
      </c>
      <c r="J162" s="117" t="s">
        <v>1523</v>
      </c>
      <c r="K162" s="52" t="str">
        <f>VLOOKUP(F162,PAGO1,7,FALSE)</f>
        <v>#N/A</v>
      </c>
      <c r="L162" s="72">
        <f>VLOOKUP(I162,PAGO2,5,FALSE)</f>
        <v>8650000</v>
      </c>
      <c r="M162" s="72">
        <f>VLOOKUP(I162,PAGO3,5,FALSE)</f>
        <v>8650000</v>
      </c>
      <c r="O162" s="52" t="str">
        <f>VLOOKUP(I162,RANGOPAGOS5,7,FALSE)</f>
        <v>$ 8.650.000</v>
      </c>
      <c r="P162" s="52" t="str">
        <f>VLOOKUP(I162,RANGOPAGOS6,7,FALSE)</f>
        <v>$ 8.650.000,00</v>
      </c>
      <c r="Z162" s="52" t="str">
        <f t="shared" si="1"/>
        <v>#N/A</v>
      </c>
    </row>
    <row r="163">
      <c r="A163" s="52" t="s">
        <v>581</v>
      </c>
      <c r="B163" s="52" t="s">
        <v>758</v>
      </c>
      <c r="C163" s="52" t="s">
        <v>32</v>
      </c>
      <c r="D163" s="52" t="s">
        <v>6056</v>
      </c>
      <c r="E163" s="52" t="s">
        <v>583</v>
      </c>
      <c r="F163" s="52" t="s">
        <v>759</v>
      </c>
      <c r="G163" s="52" t="s">
        <v>760</v>
      </c>
      <c r="H163" s="52" t="s">
        <v>761</v>
      </c>
      <c r="I163" s="52">
        <v>1.073236997E9</v>
      </c>
      <c r="J163" s="117" t="s">
        <v>1763</v>
      </c>
      <c r="K163" s="52" t="str">
        <f>VLOOKUP(F163,PAGO1,7,FALSE)</f>
        <v>#N/A</v>
      </c>
      <c r="L163" s="72">
        <f>VLOOKUP(I163,PAGO2,5,FALSE)</f>
        <v>12911500</v>
      </c>
      <c r="M163" s="72">
        <f>VLOOKUP(I163,PAGO3,5,FALSE)</f>
        <v>12911500</v>
      </c>
      <c r="O163" s="52" t="str">
        <f>VLOOKUP(I163,RANGOPAGOS5,7,FALSE)</f>
        <v>$ 12.911.500</v>
      </c>
      <c r="P163" s="52" t="str">
        <f>VLOOKUP(I163,RANGOPAGOS6,7,FALSE)</f>
        <v>$ 12.911.500,00</v>
      </c>
      <c r="Z163" s="52" t="str">
        <f t="shared" si="1"/>
        <v>#N/A</v>
      </c>
    </row>
    <row r="164">
      <c r="A164" s="52" t="s">
        <v>581</v>
      </c>
      <c r="B164" s="52" t="s">
        <v>677</v>
      </c>
      <c r="C164" s="52" t="s">
        <v>32</v>
      </c>
      <c r="D164" s="52" t="s">
        <v>6057</v>
      </c>
      <c r="E164" s="52" t="s">
        <v>583</v>
      </c>
      <c r="F164" s="52" t="s">
        <v>763</v>
      </c>
      <c r="G164" s="52" t="s">
        <v>764</v>
      </c>
      <c r="H164" s="52" t="s">
        <v>765</v>
      </c>
      <c r="I164" s="52">
        <v>7.9598641E7</v>
      </c>
      <c r="J164" s="117" t="s">
        <v>1764</v>
      </c>
      <c r="K164" s="52" t="str">
        <f>VLOOKUP(F164,PAGO1,7,FALSE)</f>
        <v>#N/A</v>
      </c>
      <c r="L164" s="72">
        <f>VLOOKUP(I164,PAGO2,5,FALSE)</f>
        <v>8569000</v>
      </c>
      <c r="M164" s="72">
        <f>VLOOKUP(I164,PAGO3,5,FALSE)</f>
        <v>8569000</v>
      </c>
      <c r="O164" s="52" t="str">
        <f>VLOOKUP(I164,RANGOPAGOS5,7,FALSE)</f>
        <v>$ 8.569.000</v>
      </c>
      <c r="P164" s="52" t="str">
        <f>VLOOKUP(I164,RANGOPAGOS6,7,FALSE)</f>
        <v>$ 8.569.000,00</v>
      </c>
      <c r="Z164" s="52" t="str">
        <f t="shared" si="1"/>
        <v>#N/A</v>
      </c>
    </row>
    <row r="165">
      <c r="A165" s="52" t="s">
        <v>581</v>
      </c>
      <c r="B165" s="52" t="s">
        <v>766</v>
      </c>
      <c r="C165" s="52" t="s">
        <v>32</v>
      </c>
      <c r="D165" s="52" t="s">
        <v>6058</v>
      </c>
      <c r="E165" s="52" t="s">
        <v>583</v>
      </c>
      <c r="F165" s="52" t="s">
        <v>767</v>
      </c>
      <c r="G165" s="52" t="s">
        <v>768</v>
      </c>
      <c r="H165" s="52" t="s">
        <v>769</v>
      </c>
      <c r="I165" s="52">
        <v>1.024476225E9</v>
      </c>
      <c r="J165" s="117" t="s">
        <v>1765</v>
      </c>
      <c r="K165" s="52" t="str">
        <f>VLOOKUP(F165,PAGO1,7,FALSE)</f>
        <v>#N/A</v>
      </c>
      <c r="L165" s="72">
        <f>VLOOKUP(I165,PAGO2,5,FALSE)</f>
        <v>3729880</v>
      </c>
      <c r="M165" s="72">
        <f>VLOOKUP(I165,PAGO3,5,FALSE)</f>
        <v>3996300</v>
      </c>
      <c r="O165" s="52" t="str">
        <f>VLOOKUP(I165,RANGOPAGOS5,7,FALSE)</f>
        <v>$ 3.996.300</v>
      </c>
      <c r="P165" s="52" t="str">
        <f>VLOOKUP(I165,RANGOPAGOS6,7,FALSE)</f>
        <v>$ 3.996.300,00</v>
      </c>
      <c r="Z165" s="52" t="str">
        <f t="shared" si="1"/>
        <v>#N/A</v>
      </c>
    </row>
    <row r="166">
      <c r="A166" s="52" t="s">
        <v>581</v>
      </c>
      <c r="B166" s="52" t="s">
        <v>770</v>
      </c>
      <c r="C166" s="52" t="s">
        <v>32</v>
      </c>
      <c r="D166" s="52" t="s">
        <v>6059</v>
      </c>
      <c r="E166" s="52" t="s">
        <v>583</v>
      </c>
      <c r="F166" s="52" t="s">
        <v>771</v>
      </c>
      <c r="G166" s="52" t="s">
        <v>772</v>
      </c>
      <c r="H166" s="52" t="s">
        <v>773</v>
      </c>
      <c r="I166" s="52">
        <v>1.032463587E9</v>
      </c>
      <c r="J166" s="117" t="s">
        <v>1766</v>
      </c>
      <c r="K166" s="52" t="str">
        <f>VLOOKUP(F166,PAGO1,7,FALSE)</f>
        <v>#N/A</v>
      </c>
      <c r="L166" s="72">
        <f>VLOOKUP(I166,PAGO2,5,FALSE)</f>
        <v>6580500</v>
      </c>
      <c r="M166" s="72">
        <f>VLOOKUP(I166,PAGO3,5,FALSE)</f>
        <v>7896600</v>
      </c>
      <c r="O166" s="52" t="str">
        <f>VLOOKUP(I166,RANGOPAGOS5,7,FALSE)</f>
        <v>$ 7.896.600</v>
      </c>
      <c r="P166" s="52" t="str">
        <f>VLOOKUP(I166,RANGOPAGOS6,7,FALSE)</f>
        <v>$ 7.896.600,00</v>
      </c>
      <c r="Z166" s="52" t="str">
        <f t="shared" si="1"/>
        <v>#N/A</v>
      </c>
    </row>
    <row r="167">
      <c r="A167" s="52" t="s">
        <v>581</v>
      </c>
      <c r="B167" s="52" t="s">
        <v>775</v>
      </c>
      <c r="C167" s="52" t="s">
        <v>32</v>
      </c>
      <c r="D167" s="52" t="s">
        <v>6060</v>
      </c>
      <c r="E167" s="52" t="s">
        <v>583</v>
      </c>
      <c r="F167" s="52" t="s">
        <v>776</v>
      </c>
      <c r="G167" s="52" t="s">
        <v>777</v>
      </c>
      <c r="H167" s="52" t="s">
        <v>778</v>
      </c>
      <c r="I167" s="52">
        <v>1.032465103E9</v>
      </c>
      <c r="J167" s="117" t="s">
        <v>1767</v>
      </c>
      <c r="K167" s="52" t="str">
        <f>VLOOKUP(F167,PAGO1,7,FALSE)</f>
        <v>#N/A</v>
      </c>
      <c r="L167" s="72">
        <f>VLOOKUP(I167,PAGO2,5,FALSE)</f>
        <v>4000000</v>
      </c>
      <c r="M167" s="72">
        <f>VLOOKUP(I167,PAGO3,5,FALSE)</f>
        <v>4000000</v>
      </c>
      <c r="O167" s="52" t="str">
        <f>VLOOKUP(I167,RANGOPAGOS5,7,FALSE)</f>
        <v>$ 4.000.000</v>
      </c>
      <c r="P167" s="52" t="str">
        <f>VLOOKUP(I167,RANGOPAGOS6,7,FALSE)</f>
        <v>$ 4.000.000,00</v>
      </c>
      <c r="Z167" s="52" t="str">
        <f t="shared" si="1"/>
        <v>#N/A</v>
      </c>
    </row>
    <row r="168">
      <c r="A168" s="52" t="s">
        <v>581</v>
      </c>
      <c r="B168" s="52" t="s">
        <v>780</v>
      </c>
      <c r="C168" s="52" t="s">
        <v>32</v>
      </c>
      <c r="D168" s="52" t="s">
        <v>6061</v>
      </c>
      <c r="E168" s="52" t="s">
        <v>781</v>
      </c>
      <c r="F168" s="52" t="s">
        <v>782</v>
      </c>
      <c r="G168" s="52" t="s">
        <v>783</v>
      </c>
      <c r="H168" s="52" t="s">
        <v>784</v>
      </c>
      <c r="I168" s="52">
        <v>1.015471886E9</v>
      </c>
      <c r="J168" s="117" t="s">
        <v>1769</v>
      </c>
      <c r="K168" s="52" t="str">
        <f>VLOOKUP(F168,PAGO1,7,FALSE)</f>
        <v>#N/A</v>
      </c>
      <c r="L168" s="72">
        <f>VLOOKUP(I168,PAGO2,5,FALSE)</f>
        <v>3630000</v>
      </c>
      <c r="M168" s="72">
        <f>VLOOKUP(I168,PAGO3,5,FALSE)</f>
        <v>3630000</v>
      </c>
      <c r="O168" s="52" t="str">
        <f>VLOOKUP(I168,RANGOPAGOS5,7,FALSE)</f>
        <v>$ 3.630.000</v>
      </c>
      <c r="P168" s="52" t="str">
        <f>VLOOKUP(I168,RANGOPAGOS6,7,FALSE)</f>
        <v>$ 3.630.000,00</v>
      </c>
      <c r="Z168" s="52" t="str">
        <f t="shared" si="1"/>
        <v>#N/A</v>
      </c>
    </row>
    <row r="169">
      <c r="A169" s="52" t="s">
        <v>581</v>
      </c>
      <c r="B169" s="52" t="s">
        <v>785</v>
      </c>
      <c r="C169" s="52" t="s">
        <v>32</v>
      </c>
      <c r="D169" s="52" t="s">
        <v>6062</v>
      </c>
      <c r="E169" s="52" t="s">
        <v>583</v>
      </c>
      <c r="F169" s="52" t="s">
        <v>786</v>
      </c>
      <c r="G169" s="52" t="s">
        <v>787</v>
      </c>
      <c r="H169" s="52" t="s">
        <v>788</v>
      </c>
      <c r="I169" s="52">
        <v>5.2181636E7</v>
      </c>
      <c r="J169" s="117" t="s">
        <v>1771</v>
      </c>
      <c r="K169" s="52" t="str">
        <f>VLOOKUP(F169,PAGO1,7,FALSE)</f>
        <v>#N/A</v>
      </c>
      <c r="L169" s="72">
        <f>VLOOKUP(I169,PAGO2,5,FALSE)</f>
        <v>6933333.33</v>
      </c>
      <c r="M169" s="72">
        <f>VLOOKUP(I169,PAGO3,5,FALSE)</f>
        <v>8000000</v>
      </c>
      <c r="O169" s="52" t="str">
        <f>VLOOKUP(I169,RANGOPAGOS5,7,FALSE)</f>
        <v>$ 8.000.000</v>
      </c>
      <c r="P169" s="52" t="str">
        <f>VLOOKUP(I169,RANGOPAGOS6,7,FALSE)</f>
        <v>$ 8.000.000,00</v>
      </c>
      <c r="Z169" s="52" t="str">
        <f t="shared" si="1"/>
        <v>#N/A</v>
      </c>
    </row>
    <row r="170">
      <c r="A170" s="52" t="s">
        <v>581</v>
      </c>
      <c r="B170" s="52" t="s">
        <v>790</v>
      </c>
      <c r="C170" s="52" t="s">
        <v>32</v>
      </c>
      <c r="D170" s="52" t="s">
        <v>6063</v>
      </c>
      <c r="E170" s="52" t="s">
        <v>583</v>
      </c>
      <c r="F170" s="52" t="s">
        <v>791</v>
      </c>
      <c r="G170" s="52" t="s">
        <v>792</v>
      </c>
      <c r="H170" s="52" t="s">
        <v>793</v>
      </c>
      <c r="I170" s="52">
        <v>9.1013621E7</v>
      </c>
      <c r="J170" s="117" t="s">
        <v>1771</v>
      </c>
      <c r="K170" s="52" t="str">
        <f>VLOOKUP(F170,PAGO1,7,FALSE)</f>
        <v>#N/A</v>
      </c>
      <c r="L170" s="72">
        <f>VLOOKUP(I170,PAGO2,5,FALSE)</f>
        <v>8000000</v>
      </c>
      <c r="M170" s="72">
        <f>VLOOKUP(I170,PAGO3,5,FALSE)</f>
        <v>8000000</v>
      </c>
      <c r="O170" s="52" t="str">
        <f>VLOOKUP(I170,RANGOPAGOS5,7,FALSE)</f>
        <v>$ 8.000.000</v>
      </c>
      <c r="P170" s="52" t="str">
        <f>VLOOKUP(I170,RANGOPAGOS6,7,FALSE)</f>
        <v>$ 8.000.000,00</v>
      </c>
      <c r="Z170" s="52" t="str">
        <f t="shared" si="1"/>
        <v>#N/A</v>
      </c>
    </row>
    <row r="171">
      <c r="A171" s="52" t="s">
        <v>581</v>
      </c>
      <c r="B171" s="52" t="s">
        <v>795</v>
      </c>
      <c r="C171" s="52" t="s">
        <v>32</v>
      </c>
      <c r="D171" s="52" t="s">
        <v>6064</v>
      </c>
      <c r="E171" s="52" t="s">
        <v>583</v>
      </c>
      <c r="F171" s="52" t="s">
        <v>796</v>
      </c>
      <c r="G171" s="52" t="s">
        <v>797</v>
      </c>
      <c r="H171" s="52" t="s">
        <v>798</v>
      </c>
      <c r="I171" s="52">
        <v>1.072714553E9</v>
      </c>
      <c r="J171" s="117" t="s">
        <v>1773</v>
      </c>
      <c r="K171" s="52" t="str">
        <f>VLOOKUP(F171,PAGO1,7,FALSE)</f>
        <v>#N/A</v>
      </c>
      <c r="L171" s="72">
        <f>VLOOKUP(I171,PAGO2,5,FALSE)</f>
        <v>7370160</v>
      </c>
      <c r="M171" s="72">
        <f>VLOOKUP(I171,PAGO3,5,FALSE)</f>
        <v>7896600</v>
      </c>
      <c r="O171" s="52" t="str">
        <f>VLOOKUP(I171,RANGOPAGOS5,7,FALSE)</f>
        <v>$ 7.896.600</v>
      </c>
      <c r="P171" s="52" t="str">
        <f>VLOOKUP(I171,RANGOPAGOS6,7,FALSE)</f>
        <v>$ 7.896.600,00</v>
      </c>
      <c r="Z171" s="52" t="str">
        <f t="shared" si="1"/>
        <v>#N/A</v>
      </c>
    </row>
    <row r="172">
      <c r="A172" s="52" t="s">
        <v>581</v>
      </c>
      <c r="B172" s="52" t="s">
        <v>799</v>
      </c>
      <c r="C172" s="52" t="s">
        <v>32</v>
      </c>
      <c r="D172" s="52" t="s">
        <v>6065</v>
      </c>
      <c r="E172" s="52" t="s">
        <v>583</v>
      </c>
      <c r="F172" s="52" t="s">
        <v>800</v>
      </c>
      <c r="G172" s="52" t="s">
        <v>801</v>
      </c>
      <c r="H172" s="52" t="s">
        <v>802</v>
      </c>
      <c r="I172" s="52">
        <v>1.030634155E9</v>
      </c>
      <c r="J172" s="117" t="s">
        <v>1773</v>
      </c>
      <c r="K172" s="52" t="str">
        <f>VLOOKUP(F172,PAGO1,7,FALSE)</f>
        <v>#N/A</v>
      </c>
      <c r="L172" s="72">
        <f>VLOOKUP(I172,PAGO2,5,FALSE)</f>
        <v>7370160</v>
      </c>
      <c r="M172" s="72">
        <f>VLOOKUP(I172,PAGO3,5,FALSE)</f>
        <v>7896600</v>
      </c>
      <c r="O172" s="52" t="str">
        <f>VLOOKUP(I172,RANGOPAGOS5,7,FALSE)</f>
        <v>$ 7.896.600</v>
      </c>
      <c r="P172" s="52" t="str">
        <f>VLOOKUP(I172,RANGOPAGOS6,7,FALSE)</f>
        <v>$ 7.896.600,00</v>
      </c>
      <c r="Z172" s="52" t="str">
        <f t="shared" si="1"/>
        <v>#N/A</v>
      </c>
    </row>
    <row r="173">
      <c r="A173" s="52" t="s">
        <v>581</v>
      </c>
      <c r="B173" s="52"/>
      <c r="C173" s="52" t="s">
        <v>32</v>
      </c>
      <c r="D173" s="52" t="s">
        <v>6066</v>
      </c>
      <c r="E173" s="52" t="s">
        <v>781</v>
      </c>
      <c r="F173" s="52" t="s">
        <v>803</v>
      </c>
      <c r="G173" s="52" t="s">
        <v>804</v>
      </c>
      <c r="H173" s="52" t="s">
        <v>805</v>
      </c>
      <c r="I173" s="52">
        <v>1.055272277E9</v>
      </c>
      <c r="J173" s="117" t="s">
        <v>1774</v>
      </c>
      <c r="K173" s="52" t="str">
        <f>VLOOKUP(F173,PAGO1,7,FALSE)</f>
        <v>#N/A</v>
      </c>
      <c r="L173" s="72">
        <f>VLOOKUP(I173,PAGO2,5,FALSE)</f>
        <v>3596500</v>
      </c>
      <c r="M173" s="72">
        <f>VLOOKUP(I173,PAGO3,5,FALSE)</f>
        <v>3596500</v>
      </c>
      <c r="O173" s="52" t="str">
        <f>VLOOKUP(I173,RANGOPAGOS5,7,FALSE)</f>
        <v>$ 3.596.500</v>
      </c>
      <c r="P173" s="52" t="str">
        <f>VLOOKUP(I173,RANGOPAGOS6,7,FALSE)</f>
        <v>$ 3.596.500,00</v>
      </c>
      <c r="Z173" s="52" t="str">
        <f t="shared" si="1"/>
        <v>#N/A</v>
      </c>
    </row>
    <row r="174">
      <c r="A174" s="52" t="s">
        <v>581</v>
      </c>
      <c r="B174" s="52" t="s">
        <v>806</v>
      </c>
      <c r="C174" s="52" t="s">
        <v>32</v>
      </c>
      <c r="D174" s="52" t="s">
        <v>6067</v>
      </c>
      <c r="E174" s="52" t="s">
        <v>583</v>
      </c>
      <c r="F174" s="52" t="s">
        <v>807</v>
      </c>
      <c r="G174" s="52" t="s">
        <v>808</v>
      </c>
      <c r="H174" s="52" t="s">
        <v>809</v>
      </c>
      <c r="I174" s="52">
        <v>1.016069508E9</v>
      </c>
      <c r="J174" s="117" t="s">
        <v>1775</v>
      </c>
      <c r="K174" s="52" t="str">
        <f>VLOOKUP(F174,PAGO1,7,FALSE)</f>
        <v>#N/A</v>
      </c>
      <c r="L174" s="72">
        <f>VLOOKUP(I174,PAGO2,5,FALSE)</f>
        <v>7087500</v>
      </c>
      <c r="M174" s="72">
        <f>VLOOKUP(I174,PAGO3,5,FALSE)</f>
        <v>7087500</v>
      </c>
      <c r="O174" s="52" t="str">
        <f>VLOOKUP(I174,RANGOPAGOS5,7,FALSE)</f>
        <v>$ 7.087.500</v>
      </c>
      <c r="P174" s="52" t="str">
        <f>VLOOKUP(I174,RANGOPAGOS6,7,FALSE)</f>
        <v>$ 7.087.500,00</v>
      </c>
      <c r="Z174" s="52" t="str">
        <f t="shared" si="1"/>
        <v>#N/A</v>
      </c>
    </row>
    <row r="175">
      <c r="A175" s="52" t="s">
        <v>581</v>
      </c>
      <c r="B175" s="52" t="s">
        <v>810</v>
      </c>
      <c r="C175" s="52" t="s">
        <v>32</v>
      </c>
      <c r="D175" s="52" t="s">
        <v>6068</v>
      </c>
      <c r="E175" s="52" t="s">
        <v>583</v>
      </c>
      <c r="F175" s="52" t="s">
        <v>811</v>
      </c>
      <c r="G175" s="52" t="s">
        <v>812</v>
      </c>
      <c r="H175" s="52" t="s">
        <v>813</v>
      </c>
      <c r="I175" s="52">
        <v>1.110461441E9</v>
      </c>
      <c r="J175" s="117" t="s">
        <v>1776</v>
      </c>
      <c r="K175" s="52" t="str">
        <f>VLOOKUP(F175,PAGO1,7,FALSE)</f>
        <v>#N/A</v>
      </c>
      <c r="L175" s="72">
        <f>VLOOKUP(I175,PAGO2,5,FALSE)</f>
        <v>8274000</v>
      </c>
      <c r="M175" s="72">
        <f>VLOOKUP(I175,PAGO3,5,FALSE)</f>
        <v>8274000</v>
      </c>
      <c r="O175" s="52" t="str">
        <f>VLOOKUP(I175,RANGOPAGOS5,7,FALSE)</f>
        <v>$ 8.274.000</v>
      </c>
      <c r="P175" s="52" t="str">
        <f>VLOOKUP(I175,RANGOPAGOS6,7,FALSE)</f>
        <v>$ 8.274.000,00</v>
      </c>
      <c r="Z175" s="52" t="str">
        <f t="shared" si="1"/>
        <v>#N/A</v>
      </c>
    </row>
    <row r="176">
      <c r="A176" s="52" t="s">
        <v>581</v>
      </c>
      <c r="B176" s="52" t="s">
        <v>814</v>
      </c>
      <c r="C176" s="52" t="s">
        <v>32</v>
      </c>
      <c r="D176" s="52" t="s">
        <v>6069</v>
      </c>
      <c r="E176" s="52" t="s">
        <v>583</v>
      </c>
      <c r="F176" s="52" t="s">
        <v>815</v>
      </c>
      <c r="G176" s="52" t="s">
        <v>816</v>
      </c>
      <c r="H176" s="52" t="s">
        <v>817</v>
      </c>
      <c r="I176" s="52">
        <v>1.032362123E9</v>
      </c>
      <c r="J176" s="117" t="s">
        <v>1777</v>
      </c>
      <c r="K176" s="52" t="str">
        <f>VLOOKUP(F176,PAGO1,7,FALSE)</f>
        <v>#N/A</v>
      </c>
      <c r="L176" s="72">
        <f>VLOOKUP(I176,PAGO2,5,FALSE)</f>
        <v>5833333</v>
      </c>
      <c r="M176" s="72">
        <f>VLOOKUP(I176,PAGO3,5,FALSE)</f>
        <v>7000000</v>
      </c>
      <c r="O176" s="52" t="str">
        <f>VLOOKUP(I176,RANGOPAGOS5,7,FALSE)</f>
        <v>$ 7.000.000</v>
      </c>
      <c r="P176" s="52" t="str">
        <f>VLOOKUP(I176,RANGOPAGOS6,7,FALSE)</f>
        <v>$ 7.000.000,00</v>
      </c>
      <c r="Z176" s="52" t="str">
        <f t="shared" si="1"/>
        <v>#N/A</v>
      </c>
    </row>
    <row r="177">
      <c r="A177" s="52" t="s">
        <v>581</v>
      </c>
      <c r="B177" s="52" t="s">
        <v>818</v>
      </c>
      <c r="C177" s="52" t="s">
        <v>32</v>
      </c>
      <c r="D177" s="52" t="s">
        <v>6070</v>
      </c>
      <c r="E177" s="52" t="s">
        <v>583</v>
      </c>
      <c r="F177" s="52" t="s">
        <v>819</v>
      </c>
      <c r="G177" s="52" t="s">
        <v>820</v>
      </c>
      <c r="H177" s="52" t="s">
        <v>821</v>
      </c>
      <c r="I177" s="52">
        <v>5.530598E7</v>
      </c>
      <c r="J177" s="117" t="s">
        <v>1664</v>
      </c>
      <c r="K177" s="52" t="str">
        <f>VLOOKUP(F177,PAGO1,7,FALSE)</f>
        <v>#N/A</v>
      </c>
      <c r="L177" s="72">
        <f>VLOOKUP(I177,PAGO2,5,FALSE)</f>
        <v>6500000</v>
      </c>
      <c r="M177" s="72">
        <f>VLOOKUP(I177,PAGO3,5,FALSE)</f>
        <v>7500000</v>
      </c>
      <c r="O177" s="52" t="str">
        <f>VLOOKUP(I177,RANGOPAGOS5,7,FALSE)</f>
        <v>$ 7.500.000</v>
      </c>
      <c r="P177" s="52" t="str">
        <f>VLOOKUP(I177,RANGOPAGOS6,7,FALSE)</f>
        <v>$ 7.500.000,00</v>
      </c>
      <c r="Z177" s="52" t="str">
        <f t="shared" si="1"/>
        <v>#N/A</v>
      </c>
    </row>
    <row r="178">
      <c r="A178" s="52" t="s">
        <v>581</v>
      </c>
      <c r="B178" s="52" t="s">
        <v>822</v>
      </c>
      <c r="C178" s="52" t="s">
        <v>32</v>
      </c>
      <c r="D178" s="52" t="s">
        <v>6071</v>
      </c>
      <c r="E178" s="52" t="s">
        <v>583</v>
      </c>
      <c r="F178" s="52" t="s">
        <v>823</v>
      </c>
      <c r="G178" s="52" t="s">
        <v>824</v>
      </c>
      <c r="H178" s="52" t="s">
        <v>825</v>
      </c>
      <c r="I178" s="52">
        <v>1.03117359E9</v>
      </c>
      <c r="J178" s="117" t="s">
        <v>1779</v>
      </c>
      <c r="K178" s="52" t="str">
        <f>VLOOKUP(F178,PAGO1,7,FALSE)</f>
        <v>#N/A</v>
      </c>
      <c r="L178" s="72">
        <f>VLOOKUP(I178,PAGO2,5,FALSE)</f>
        <v>5400000</v>
      </c>
      <c r="M178" s="72">
        <f>VLOOKUP(I178,PAGO3,5,FALSE)</f>
        <v>6000000</v>
      </c>
      <c r="O178" s="52" t="str">
        <f>VLOOKUP(I178,RANGOPAGOS5,7,FALSE)</f>
        <v>$ 6.000.000</v>
      </c>
      <c r="P178" s="52" t="str">
        <f>VLOOKUP(I178,RANGOPAGOS6,7,FALSE)</f>
        <v>$ 6.000.000,00</v>
      </c>
      <c r="Z178" s="52" t="str">
        <f t="shared" si="1"/>
        <v>#N/A</v>
      </c>
    </row>
    <row r="179">
      <c r="A179" s="52" t="s">
        <v>581</v>
      </c>
      <c r="B179" s="52" t="s">
        <v>826</v>
      </c>
      <c r="C179" s="52" t="s">
        <v>32</v>
      </c>
      <c r="D179" s="52" t="s">
        <v>6072</v>
      </c>
      <c r="E179" s="52" t="s">
        <v>583</v>
      </c>
      <c r="F179" s="52" t="s">
        <v>827</v>
      </c>
      <c r="G179" s="52" t="s">
        <v>828</v>
      </c>
      <c r="H179" s="52" t="s">
        <v>829</v>
      </c>
      <c r="I179" s="52">
        <v>1.032379284E9</v>
      </c>
      <c r="J179" s="117" t="s">
        <v>1780</v>
      </c>
      <c r="K179" s="52" t="str">
        <f>VLOOKUP(F179,PAGO1,7,FALSE)</f>
        <v>#N/A</v>
      </c>
      <c r="L179" s="72">
        <f>VLOOKUP(I179,PAGO2,5,FALSE)</f>
        <v>6066667</v>
      </c>
      <c r="M179" s="72">
        <f>VLOOKUP(I179,PAGO3,5,FALSE)</f>
        <v>13000000</v>
      </c>
      <c r="O179" s="52" t="str">
        <f>VLOOKUP(I179,RANGOPAGOS5,7,FALSE)</f>
        <v>$ 13.000.000</v>
      </c>
      <c r="P179" s="52" t="str">
        <f>VLOOKUP(I179,RANGOPAGOS6,7,FALSE)</f>
        <v>$ 13.000.000,00</v>
      </c>
      <c r="Z179" s="52" t="str">
        <f t="shared" si="1"/>
        <v>#N/A</v>
      </c>
    </row>
    <row r="180">
      <c r="A180" s="52" t="s">
        <v>581</v>
      </c>
      <c r="B180" s="52" t="s">
        <v>831</v>
      </c>
      <c r="C180" s="52" t="s">
        <v>32</v>
      </c>
      <c r="D180" s="52" t="s">
        <v>6073</v>
      </c>
      <c r="E180" s="52" t="s">
        <v>781</v>
      </c>
      <c r="F180" s="52" t="s">
        <v>832</v>
      </c>
      <c r="G180" s="52" t="s">
        <v>833</v>
      </c>
      <c r="H180" s="52" t="s">
        <v>834</v>
      </c>
      <c r="I180" s="52">
        <v>1.235539689E9</v>
      </c>
      <c r="J180" s="117" t="s">
        <v>1784</v>
      </c>
      <c r="K180" s="52" t="str">
        <f>VLOOKUP(F180,PAGO1,7,FALSE)</f>
        <v>#N/A</v>
      </c>
      <c r="L180" s="72">
        <f>VLOOKUP(I180,PAGO2,5,FALSE)</f>
        <v>2961000</v>
      </c>
      <c r="M180" s="72">
        <f>VLOOKUP(I180,PAGO3,5,FALSE)</f>
        <v>3290000</v>
      </c>
      <c r="O180" s="52" t="str">
        <f>VLOOKUP(I180,RANGOPAGOS5,7,FALSE)</f>
        <v>$ 3.290.000</v>
      </c>
      <c r="P180" s="52" t="str">
        <f>VLOOKUP(I180,RANGOPAGOS6,7,FALSE)</f>
        <v>$ 3.900.742,00</v>
      </c>
      <c r="Z180" s="52" t="str">
        <f t="shared" si="1"/>
        <v>#N/A</v>
      </c>
    </row>
    <row r="181">
      <c r="A181" s="52" t="s">
        <v>581</v>
      </c>
      <c r="B181" s="52" t="s">
        <v>835</v>
      </c>
      <c r="C181" s="52" t="s">
        <v>32</v>
      </c>
      <c r="D181" s="52" t="s">
        <v>6074</v>
      </c>
      <c r="E181" s="52" t="s">
        <v>583</v>
      </c>
      <c r="F181" s="52" t="s">
        <v>836</v>
      </c>
      <c r="G181" s="52" t="s">
        <v>837</v>
      </c>
      <c r="H181" s="52" t="s">
        <v>838</v>
      </c>
      <c r="I181" s="52">
        <v>1.121891311E9</v>
      </c>
      <c r="J181" s="117" t="s">
        <v>1786</v>
      </c>
      <c r="K181" s="52" t="str">
        <f>VLOOKUP(F181,PAGO1,7,FALSE)</f>
        <v>#N/A</v>
      </c>
      <c r="L181" s="72">
        <f>VLOOKUP(I181,PAGO2,5,FALSE)</f>
        <v>8280000</v>
      </c>
      <c r="M181" s="72">
        <f>VLOOKUP(I181,PAGO3,5,FALSE)</f>
        <v>9200000</v>
      </c>
      <c r="O181" s="52" t="str">
        <f>VLOOKUP(I181,RANGOPAGOS5,7,FALSE)</f>
        <v>$ 9.200.000</v>
      </c>
      <c r="P181" s="52" t="str">
        <f>VLOOKUP(I181,RANGOPAGOS6,7,FALSE)</f>
        <v>$ 9.200.000,00</v>
      </c>
      <c r="Z181" s="52" t="str">
        <f t="shared" si="1"/>
        <v>#N/A</v>
      </c>
    </row>
    <row r="182">
      <c r="A182" s="52" t="s">
        <v>581</v>
      </c>
      <c r="B182" s="52" t="s">
        <v>839</v>
      </c>
      <c r="C182" s="52" t="s">
        <v>32</v>
      </c>
      <c r="D182" s="52" t="s">
        <v>6075</v>
      </c>
      <c r="E182" s="52" t="s">
        <v>583</v>
      </c>
      <c r="F182" s="52" t="s">
        <v>840</v>
      </c>
      <c r="G182" s="52" t="s">
        <v>841</v>
      </c>
      <c r="H182" s="52" t="s">
        <v>842</v>
      </c>
      <c r="I182" s="52">
        <v>1.193095704E9</v>
      </c>
      <c r="J182" s="117" t="s">
        <v>1537</v>
      </c>
      <c r="K182" s="52" t="str">
        <f>VLOOKUP(F182,PAGO1,7,FALSE)</f>
        <v>#N/A</v>
      </c>
      <c r="L182" s="72">
        <f>VLOOKUP(I182,PAGO2,5,FALSE)</f>
        <v>2956905</v>
      </c>
      <c r="M182" s="72">
        <f>VLOOKUP(I182,PAGO3,5,FALSE)</f>
        <v>3285450</v>
      </c>
      <c r="O182" s="52" t="str">
        <f>VLOOKUP(I182,RANGOPAGOS5,7,FALSE)</f>
        <v>$ 3.285.450</v>
      </c>
      <c r="P182" s="52" t="str">
        <f>VLOOKUP(I182,RANGOPAGOS6,7,FALSE)</f>
        <v>$ 3.285.450,00</v>
      </c>
      <c r="Z182" s="52" t="str">
        <f t="shared" si="1"/>
        <v>#N/A</v>
      </c>
    </row>
    <row r="183">
      <c r="A183" s="52" t="s">
        <v>581</v>
      </c>
      <c r="B183" s="52" t="s">
        <v>843</v>
      </c>
      <c r="C183" s="52" t="s">
        <v>32</v>
      </c>
      <c r="D183" s="52" t="s">
        <v>6076</v>
      </c>
      <c r="E183" s="52" t="s">
        <v>583</v>
      </c>
      <c r="F183" s="52" t="s">
        <v>844</v>
      </c>
      <c r="G183" s="52" t="s">
        <v>845</v>
      </c>
      <c r="H183" s="52" t="s">
        <v>846</v>
      </c>
      <c r="I183" s="52">
        <v>1.003586805E9</v>
      </c>
      <c r="J183" s="117" t="s">
        <v>1787</v>
      </c>
      <c r="K183" s="52" t="str">
        <f>VLOOKUP(F183,PAGO1,7,FALSE)</f>
        <v>#N/A</v>
      </c>
      <c r="L183" s="72">
        <f>VLOOKUP(I183,PAGO2,5,FALSE)</f>
        <v>2956905</v>
      </c>
      <c r="M183" s="72">
        <f>VLOOKUP(I183,PAGO3,5,FALSE)</f>
        <v>3285450</v>
      </c>
      <c r="O183" s="52" t="str">
        <f>VLOOKUP(I183,RANGOPAGOS5,7,FALSE)</f>
        <v>$ 3.285.450</v>
      </c>
      <c r="P183" s="52" t="str">
        <f>VLOOKUP(I183,RANGOPAGOS6,7,FALSE)</f>
        <v>$ 3.285.450,00</v>
      </c>
      <c r="Z183" s="52" t="str">
        <f t="shared" si="1"/>
        <v>#N/A</v>
      </c>
    </row>
    <row r="184">
      <c r="A184" s="52" t="s">
        <v>581</v>
      </c>
      <c r="B184" s="52" t="s">
        <v>849</v>
      </c>
      <c r="C184" s="52" t="s">
        <v>32</v>
      </c>
      <c r="D184" s="52" t="s">
        <v>6077</v>
      </c>
      <c r="E184" s="52" t="s">
        <v>781</v>
      </c>
      <c r="F184" s="52" t="s">
        <v>850</v>
      </c>
      <c r="G184" s="52" t="s">
        <v>851</v>
      </c>
      <c r="H184" s="52" t="s">
        <v>852</v>
      </c>
      <c r="I184" s="52">
        <v>1.110503697E9</v>
      </c>
      <c r="J184" s="117" t="s">
        <v>1790</v>
      </c>
      <c r="K184" s="52" t="str">
        <f>VLOOKUP(F184,PAGO1,7,FALSE)</f>
        <v>#N/A</v>
      </c>
      <c r="L184" s="72">
        <f>VLOOKUP(I184,PAGO2,5,FALSE)</f>
        <v>3035760</v>
      </c>
      <c r="M184" s="72">
        <f>VLOOKUP(I184,PAGO3,5,FALSE)</f>
        <v>3502800</v>
      </c>
      <c r="O184" s="52" t="str">
        <f>VLOOKUP(I184,RANGOPAGOS5,7,FALSE)</f>
        <v>$ 3.502.800</v>
      </c>
      <c r="P184" s="52" t="str">
        <f>VLOOKUP(I184,RANGOPAGOS6,7,FALSE)</f>
        <v>$ 3.502.800,00</v>
      </c>
      <c r="Z184" s="52" t="str">
        <f t="shared" si="1"/>
        <v>#N/A</v>
      </c>
    </row>
    <row r="185">
      <c r="A185" s="52" t="s">
        <v>581</v>
      </c>
      <c r="B185" s="52" t="s">
        <v>853</v>
      </c>
      <c r="C185" s="52" t="s">
        <v>32</v>
      </c>
      <c r="D185" s="52" t="s">
        <v>6078</v>
      </c>
      <c r="E185" s="52" t="s">
        <v>781</v>
      </c>
      <c r="F185" s="52" t="s">
        <v>855</v>
      </c>
      <c r="G185" s="52" t="s">
        <v>856</v>
      </c>
      <c r="H185" s="52" t="s">
        <v>857</v>
      </c>
      <c r="I185" s="52" t="s">
        <v>3105</v>
      </c>
      <c r="J185" s="117">
        <v>3090000.0</v>
      </c>
      <c r="K185" s="52" t="str">
        <f>VLOOKUP(F185,PAGO1,7,FALSE)</f>
        <v>#N/A</v>
      </c>
      <c r="L185" s="52" t="str">
        <f>VLOOKUP(I185,PAGO2,5,FALSE)</f>
        <v>#N/A</v>
      </c>
      <c r="M185" s="52" t="str">
        <f>VLOOKUP(I185,PAGO3,5,FALSE)</f>
        <v>#N/A</v>
      </c>
      <c r="O185" s="52" t="str">
        <f>VLOOKUP(I185,RANGOPAGOS5,7,FALSE)</f>
        <v>#N/A</v>
      </c>
      <c r="P185" s="52" t="str">
        <f>VLOOKUP(I185,RANGOPAGOS6,7,FALSE)</f>
        <v>#N/A</v>
      </c>
      <c r="Z185" s="52" t="str">
        <f t="shared" si="1"/>
        <v>#N/A</v>
      </c>
    </row>
    <row r="186">
      <c r="A186" s="52" t="s">
        <v>581</v>
      </c>
      <c r="B186" s="52" t="s">
        <v>859</v>
      </c>
      <c r="C186" s="52" t="s">
        <v>32</v>
      </c>
      <c r="D186" s="52" t="s">
        <v>6079</v>
      </c>
      <c r="E186" s="52" t="s">
        <v>583</v>
      </c>
      <c r="F186" s="52" t="s">
        <v>860</v>
      </c>
      <c r="G186" s="52" t="s">
        <v>861</v>
      </c>
      <c r="H186" s="52" t="s">
        <v>862</v>
      </c>
      <c r="I186" s="52">
        <v>1.026592381E9</v>
      </c>
      <c r="J186" s="117" t="s">
        <v>1537</v>
      </c>
      <c r="K186" s="52" t="str">
        <f>VLOOKUP(F186,PAGO1,7,FALSE)</f>
        <v>#N/A</v>
      </c>
      <c r="L186" s="72">
        <f>VLOOKUP(I186,PAGO2,5,FALSE)</f>
        <v>2956905</v>
      </c>
      <c r="M186" s="72">
        <f>VLOOKUP(I186,PAGO3,5,FALSE)</f>
        <v>3285450</v>
      </c>
      <c r="O186" s="52" t="str">
        <f>VLOOKUP(I186,RANGOPAGOS5,7,FALSE)</f>
        <v>$ 3.285.450</v>
      </c>
      <c r="P186" s="52" t="str">
        <f>VLOOKUP(I186,RANGOPAGOS6,7,FALSE)</f>
        <v>$ 3.285.450,00</v>
      </c>
      <c r="Z186" s="52" t="str">
        <f t="shared" si="1"/>
        <v>#N/A</v>
      </c>
    </row>
    <row r="187">
      <c r="A187" s="52" t="s">
        <v>581</v>
      </c>
      <c r="B187" s="52"/>
      <c r="C187" s="52" t="s">
        <v>32</v>
      </c>
      <c r="D187" s="52" t="s">
        <v>6080</v>
      </c>
      <c r="E187" s="52" t="s">
        <v>1030</v>
      </c>
      <c r="F187" s="52" t="s">
        <v>863</v>
      </c>
      <c r="G187" s="52" t="s">
        <v>861</v>
      </c>
      <c r="H187" s="52" t="s">
        <v>864</v>
      </c>
      <c r="I187" s="52">
        <v>1.098822094E9</v>
      </c>
      <c r="J187" s="117" t="s">
        <v>1537</v>
      </c>
      <c r="K187" s="52" t="str">
        <f>VLOOKUP(F187,PAGO1,7,FALSE)</f>
        <v>#N/A</v>
      </c>
      <c r="L187" s="72">
        <f>VLOOKUP(I187,PAGO2,5,FALSE)</f>
        <v>2847390</v>
      </c>
      <c r="M187" s="72">
        <f>VLOOKUP(I187,PAGO3,5,FALSE)</f>
        <v>3285450</v>
      </c>
      <c r="O187" s="52" t="str">
        <f>VLOOKUP(I187,RANGOPAGOS5,7,FALSE)</f>
        <v>$ 3.285.450</v>
      </c>
      <c r="P187" s="52" t="str">
        <f>VLOOKUP(I187,RANGOPAGOS6,7,FALSE)</f>
        <v>$ 3.285.450,00</v>
      </c>
      <c r="Z187" s="52" t="str">
        <f t="shared" si="1"/>
        <v>#N/A</v>
      </c>
    </row>
    <row r="188">
      <c r="A188" s="52" t="s">
        <v>581</v>
      </c>
      <c r="B188" s="52" t="s">
        <v>865</v>
      </c>
      <c r="C188" s="52" t="s">
        <v>32</v>
      </c>
      <c r="D188" s="52" t="s">
        <v>6081</v>
      </c>
      <c r="E188" s="52" t="s">
        <v>1030</v>
      </c>
      <c r="F188" s="52" t="s">
        <v>866</v>
      </c>
      <c r="G188" s="52" t="s">
        <v>867</v>
      </c>
      <c r="H188" s="52" t="s">
        <v>868</v>
      </c>
      <c r="I188" s="52">
        <v>1.078371849E9</v>
      </c>
      <c r="J188" s="117" t="s">
        <v>1791</v>
      </c>
      <c r="K188" s="52" t="str">
        <f>VLOOKUP(F188,PAGO1,7,FALSE)</f>
        <v>#N/A</v>
      </c>
      <c r="L188" s="72">
        <f>VLOOKUP(I188,PAGO2,5,FALSE)</f>
        <v>3382650</v>
      </c>
      <c r="M188" s="72">
        <f>VLOOKUP(I188,PAGO3,5,FALSE)</f>
        <v>3758500</v>
      </c>
      <c r="O188" s="52" t="str">
        <f>VLOOKUP(I188,RANGOPAGOS5,7,FALSE)</f>
        <v>$ 3.758.500</v>
      </c>
      <c r="P188" s="52" t="str">
        <f>VLOOKUP(I188,RANGOPAGOS6,7,FALSE)</f>
        <v>$ 3.758.500,00</v>
      </c>
      <c r="Z188" s="52" t="str">
        <f t="shared" si="1"/>
        <v>#N/A</v>
      </c>
    </row>
    <row r="189">
      <c r="A189" s="52" t="s">
        <v>581</v>
      </c>
      <c r="B189" s="52" t="s">
        <v>870</v>
      </c>
      <c r="C189" s="52" t="s">
        <v>32</v>
      </c>
      <c r="D189" s="52" t="s">
        <v>6082</v>
      </c>
      <c r="E189" s="52" t="s">
        <v>1030</v>
      </c>
      <c r="F189" s="52" t="s">
        <v>871</v>
      </c>
      <c r="G189" s="52" t="s">
        <v>872</v>
      </c>
      <c r="H189" s="52" t="s">
        <v>873</v>
      </c>
      <c r="I189" s="52">
        <v>1.15245016E9</v>
      </c>
      <c r="J189" s="117" t="s">
        <v>1793</v>
      </c>
      <c r="K189" s="52" t="str">
        <f>VLOOKUP(F189,PAGO1,7,FALSE)</f>
        <v>#N/A</v>
      </c>
      <c r="L189" s="72">
        <f>VLOOKUP(I189,PAGO2,5,FALSE)</f>
        <v>3791060</v>
      </c>
      <c r="M189" s="72">
        <f>VLOOKUP(I189,PAGO3,5,FALSE)</f>
        <v>4374300</v>
      </c>
      <c r="O189" s="52" t="str">
        <f>VLOOKUP(I189,RANGOPAGOS5,7,FALSE)</f>
        <v>$ 4.374.300</v>
      </c>
      <c r="P189" s="52" t="str">
        <f>VLOOKUP(I189,RANGOPAGOS6,7,FALSE)</f>
        <v>$ 4.374.300,00</v>
      </c>
      <c r="Z189" s="52" t="str">
        <f t="shared" si="1"/>
        <v>#N/A</v>
      </c>
    </row>
    <row r="190">
      <c r="A190" s="52" t="s">
        <v>581</v>
      </c>
      <c r="B190" s="52" t="s">
        <v>875</v>
      </c>
      <c r="C190" s="52" t="s">
        <v>32</v>
      </c>
      <c r="D190" s="52" t="s">
        <v>6083</v>
      </c>
      <c r="E190" s="52" t="s">
        <v>1030</v>
      </c>
      <c r="F190" s="52" t="s">
        <v>876</v>
      </c>
      <c r="G190" s="52" t="s">
        <v>877</v>
      </c>
      <c r="H190" s="52" t="s">
        <v>878</v>
      </c>
      <c r="I190" s="52">
        <v>1.053826184E9</v>
      </c>
      <c r="J190" s="117" t="s">
        <v>1795</v>
      </c>
      <c r="K190" s="52" t="str">
        <f>VLOOKUP(F190,PAGO1,7,FALSE)</f>
        <v>#N/A</v>
      </c>
      <c r="L190" s="72">
        <f>VLOOKUP(I190,PAGO2,5,FALSE)</f>
        <v>3025750</v>
      </c>
      <c r="M190" s="72">
        <f>VLOOKUP(I190,PAGO3,5,FALSE)</f>
        <v>3630900</v>
      </c>
      <c r="O190" s="52" t="str">
        <f>VLOOKUP(I190,RANGOPAGOS5,7,FALSE)</f>
        <v>$ 3.630.900</v>
      </c>
      <c r="P190" s="52" t="str">
        <f>VLOOKUP(I190,RANGOPAGOS6,7,FALSE)</f>
        <v>$ 3.630.900,00</v>
      </c>
      <c r="Z190" s="52" t="str">
        <f t="shared" si="1"/>
        <v>#N/A</v>
      </c>
    </row>
    <row r="191">
      <c r="A191" s="52" t="s">
        <v>581</v>
      </c>
      <c r="B191" s="52" t="s">
        <v>879</v>
      </c>
      <c r="C191" s="52" t="s">
        <v>32</v>
      </c>
      <c r="D191" s="52" t="s">
        <v>6084</v>
      </c>
      <c r="E191" s="52" t="s">
        <v>1030</v>
      </c>
      <c r="F191" s="52" t="s">
        <v>880</v>
      </c>
      <c r="G191" s="52" t="s">
        <v>841</v>
      </c>
      <c r="H191" s="52" t="s">
        <v>881</v>
      </c>
      <c r="I191" s="52">
        <v>761786.0</v>
      </c>
      <c r="J191" s="117" t="s">
        <v>1537</v>
      </c>
      <c r="K191" s="52" t="str">
        <f>VLOOKUP(F191,PAGO1,7,FALSE)</f>
        <v>#N/A</v>
      </c>
      <c r="L191" s="72">
        <f>VLOOKUP(I191,PAGO2,5,FALSE)</f>
        <v>2847390</v>
      </c>
      <c r="M191" s="72">
        <f>VLOOKUP(I191,PAGO3,5,FALSE)</f>
        <v>3285450</v>
      </c>
      <c r="O191" s="52" t="str">
        <f>VLOOKUP(I191,RANGOPAGOS5,7,FALSE)</f>
        <v>$ 3.285.450</v>
      </c>
      <c r="P191" s="52" t="str">
        <f>VLOOKUP(I191,RANGOPAGOS6,7,FALSE)</f>
        <v>$ 3.285.450,00</v>
      </c>
      <c r="Z191" s="52" t="str">
        <f t="shared" si="1"/>
        <v>#N/A</v>
      </c>
    </row>
    <row r="192">
      <c r="A192" s="52" t="s">
        <v>581</v>
      </c>
      <c r="B192" s="52" t="s">
        <v>882</v>
      </c>
      <c r="C192" s="52" t="s">
        <v>32</v>
      </c>
      <c r="D192" s="52" t="s">
        <v>6085</v>
      </c>
      <c r="E192" s="52" t="s">
        <v>1030</v>
      </c>
      <c r="F192" s="52" t="s">
        <v>883</v>
      </c>
      <c r="G192" s="52" t="s">
        <v>884</v>
      </c>
      <c r="H192" s="52" t="s">
        <v>885</v>
      </c>
      <c r="I192" s="52">
        <v>1.007688013E9</v>
      </c>
      <c r="J192" s="117" t="s">
        <v>1796</v>
      </c>
      <c r="K192" s="52" t="str">
        <f>VLOOKUP(F192,PAGO1,7,FALSE)</f>
        <v>#N/A</v>
      </c>
      <c r="L192" s="72">
        <f>VLOOKUP(I192,PAGO2,5,FALSE)</f>
        <v>2990000</v>
      </c>
      <c r="M192" s="72">
        <f>VLOOKUP(I192,PAGO3,5,FALSE)</f>
        <v>3450000</v>
      </c>
      <c r="O192" s="52" t="str">
        <f>VLOOKUP(I192,RANGOPAGOS5,7,FALSE)</f>
        <v>$ 3.450.000</v>
      </c>
      <c r="P192" s="52" t="str">
        <f>VLOOKUP(I192,RANGOPAGOS6,7,FALSE)</f>
        <v>$ 3.450.000,00</v>
      </c>
      <c r="Z192" s="52" t="str">
        <f t="shared" si="1"/>
        <v>#N/A</v>
      </c>
    </row>
    <row r="193">
      <c r="A193" s="52" t="s">
        <v>581</v>
      </c>
      <c r="B193" s="52" t="s">
        <v>886</v>
      </c>
      <c r="C193" s="52" t="s">
        <v>32</v>
      </c>
      <c r="D193" s="52" t="s">
        <v>6086</v>
      </c>
      <c r="E193" s="52" t="s">
        <v>1030</v>
      </c>
      <c r="F193" s="52" t="s">
        <v>887</v>
      </c>
      <c r="G193" s="52" t="s">
        <v>888</v>
      </c>
      <c r="H193" s="52" t="s">
        <v>889</v>
      </c>
      <c r="I193" s="52">
        <v>1.000288699E9</v>
      </c>
      <c r="J193" s="117" t="s">
        <v>1799</v>
      </c>
      <c r="K193" s="52" t="str">
        <f>VLOOKUP(F193,PAGO1,7,FALSE)</f>
        <v>#N/A</v>
      </c>
      <c r="L193" s="72">
        <f>VLOOKUP(I193,PAGO2,5,FALSE)</f>
        <v>2969538</v>
      </c>
      <c r="M193" s="72">
        <f>VLOOKUP(I193,PAGO3,5,FALSE)</f>
        <v>3285450</v>
      </c>
      <c r="O193" s="52" t="str">
        <f>VLOOKUP(I193,RANGOPAGOS5,7,FALSE)</f>
        <v>$ 3.285.450</v>
      </c>
      <c r="P193" s="52" t="str">
        <f>VLOOKUP(I193,RANGOPAGOS6,7,FALSE)</f>
        <v>$ 3.285.450,00</v>
      </c>
      <c r="Z193" s="52" t="str">
        <f t="shared" si="1"/>
        <v>#N/A</v>
      </c>
    </row>
    <row r="194">
      <c r="A194" s="52" t="s">
        <v>581</v>
      </c>
      <c r="B194" s="52" t="s">
        <v>890</v>
      </c>
      <c r="C194" s="52" t="s">
        <v>32</v>
      </c>
      <c r="D194" s="52" t="s">
        <v>6087</v>
      </c>
      <c r="E194" s="52" t="s">
        <v>1030</v>
      </c>
      <c r="F194" s="52" t="s">
        <v>891</v>
      </c>
      <c r="G194" s="52" t="s">
        <v>892</v>
      </c>
      <c r="H194" s="52" t="s">
        <v>893</v>
      </c>
      <c r="I194" s="52">
        <v>4517491.0</v>
      </c>
      <c r="J194" s="117" t="s">
        <v>1802</v>
      </c>
      <c r="K194" s="52" t="str">
        <f>VLOOKUP(F194,PAGO1,7,FALSE)</f>
        <v>#N/A</v>
      </c>
      <c r="L194" s="72">
        <f>VLOOKUP(I194,PAGO2,5,FALSE)</f>
        <v>6026125</v>
      </c>
      <c r="M194" s="72">
        <f>VLOOKUP(I194,PAGO3,5,FALSE)</f>
        <v>6000000</v>
      </c>
      <c r="O194" s="52" t="str">
        <f>VLOOKUP(I194,RANGOPAGOS5,7,FALSE)</f>
        <v>$ 6.000.000</v>
      </c>
      <c r="P194" s="52" t="str">
        <f>VLOOKUP(I194,RANGOPAGOS6,7,FALSE)</f>
        <v>$ 6.000.000,00</v>
      </c>
      <c r="Z194" s="52" t="str">
        <f t="shared" si="1"/>
        <v>#N/A</v>
      </c>
    </row>
    <row r="195">
      <c r="A195" s="52" t="s">
        <v>581</v>
      </c>
      <c r="B195" s="52" t="s">
        <v>894</v>
      </c>
      <c r="C195" s="52" t="s">
        <v>32</v>
      </c>
      <c r="D195" s="52" t="s">
        <v>6088</v>
      </c>
      <c r="E195" s="52" t="s">
        <v>1030</v>
      </c>
      <c r="F195" s="52" t="s">
        <v>895</v>
      </c>
      <c r="G195" s="52" t="s">
        <v>896</v>
      </c>
      <c r="H195" s="52" t="s">
        <v>897</v>
      </c>
      <c r="I195" s="52">
        <v>1.026271385E9</v>
      </c>
      <c r="J195" s="117" t="s">
        <v>1803</v>
      </c>
      <c r="K195" s="52" t="str">
        <f>VLOOKUP(F195,PAGO1,7,FALSE)</f>
        <v>#N/A</v>
      </c>
      <c r="L195" s="72">
        <f>VLOOKUP(I195,PAGO2,5,FALSE)</f>
        <v>6817633</v>
      </c>
      <c r="M195" s="72">
        <f>VLOOKUP(I195,PAGO3,5,FALSE)</f>
        <v>7866500</v>
      </c>
      <c r="O195" s="52" t="str">
        <f>VLOOKUP(I195,RANGOPAGOS5,7,FALSE)</f>
        <v>$ 7.866.500</v>
      </c>
      <c r="P195" s="52" t="str">
        <f>VLOOKUP(I195,RANGOPAGOS6,7,FALSE)</f>
        <v>$ 7.866.500,00</v>
      </c>
      <c r="Z195" s="52" t="str">
        <f t="shared" si="1"/>
        <v>#N/A</v>
      </c>
    </row>
    <row r="196">
      <c r="A196" s="52"/>
      <c r="B196" s="52"/>
      <c r="C196" s="52" t="s">
        <v>32</v>
      </c>
      <c r="D196" s="52" t="s">
        <v>6089</v>
      </c>
      <c r="E196" s="52" t="s">
        <v>1030</v>
      </c>
      <c r="F196" s="52" t="s">
        <v>3169</v>
      </c>
      <c r="G196" s="52"/>
      <c r="H196" s="52" t="s">
        <v>3171</v>
      </c>
      <c r="I196" s="52"/>
      <c r="J196" s="117" t="s">
        <v>587</v>
      </c>
      <c r="K196" s="52" t="str">
        <f>VLOOKUP(F196,PAGO1,7,FALSE)</f>
        <v>#N/A</v>
      </c>
      <c r="L196" s="52" t="str">
        <f>VLOOKUP(I196,PAGO2,5,FALSE)</f>
        <v>#N/A</v>
      </c>
      <c r="M196" s="52" t="str">
        <f>VLOOKUP(I196,PAGO3,5,FALSE)</f>
        <v>#N/A</v>
      </c>
      <c r="O196" s="52" t="str">
        <f>VLOOKUP(I196,RANGOPAGOS5,7,FALSE)</f>
        <v>#N/A</v>
      </c>
      <c r="P196" s="52" t="str">
        <f>VLOOKUP(I196,RANGOPAGOS6,7,FALSE)</f>
        <v>#N/A</v>
      </c>
      <c r="Z196" s="52" t="str">
        <f t="shared" si="1"/>
        <v>#N/A</v>
      </c>
    </row>
    <row r="197">
      <c r="A197" s="52" t="s">
        <v>581</v>
      </c>
      <c r="B197" s="52" t="s">
        <v>899</v>
      </c>
      <c r="C197" s="52" t="s">
        <v>32</v>
      </c>
      <c r="D197" s="52" t="s">
        <v>6090</v>
      </c>
      <c r="E197" s="52" t="s">
        <v>1030</v>
      </c>
      <c r="F197" s="52" t="s">
        <v>900</v>
      </c>
      <c r="G197" s="52" t="s">
        <v>901</v>
      </c>
      <c r="H197" s="52" t="s">
        <v>902</v>
      </c>
      <c r="I197" s="52">
        <v>1.018472611E9</v>
      </c>
      <c r="J197" s="117" t="s">
        <v>1756</v>
      </c>
      <c r="K197" s="52" t="str">
        <f>VLOOKUP(F197,PAGO1,7,FALSE)</f>
        <v>#N/A</v>
      </c>
      <c r="L197" s="72">
        <f>VLOOKUP(I197,PAGO2,5,FALSE)</f>
        <v>8334480</v>
      </c>
      <c r="M197" s="72">
        <f>VLOOKUP(I197,PAGO3,5,FALSE)</f>
        <v>10418100</v>
      </c>
      <c r="O197" s="52" t="str">
        <f>VLOOKUP(I197,RANGOPAGOS5,7,FALSE)</f>
        <v>$ 10.418.100</v>
      </c>
      <c r="P197" s="52" t="str">
        <f>VLOOKUP(I197,RANGOPAGOS6,7,FALSE)</f>
        <v>$ 10.418.100,00</v>
      </c>
      <c r="Z197" s="52" t="str">
        <f t="shared" si="1"/>
        <v>#N/A</v>
      </c>
    </row>
    <row r="198">
      <c r="A198" s="52" t="s">
        <v>581</v>
      </c>
      <c r="B198" s="52" t="s">
        <v>904</v>
      </c>
      <c r="C198" s="52" t="s">
        <v>32</v>
      </c>
      <c r="D198" s="52" t="s">
        <v>6091</v>
      </c>
      <c r="E198" s="52" t="s">
        <v>781</v>
      </c>
      <c r="F198" s="52" t="s">
        <v>905</v>
      </c>
      <c r="G198" s="52" t="s">
        <v>906</v>
      </c>
      <c r="H198" s="52" t="s">
        <v>907</v>
      </c>
      <c r="I198" s="52">
        <v>1.062425689E9</v>
      </c>
      <c r="J198" s="117" t="s">
        <v>1806</v>
      </c>
      <c r="K198" s="52" t="str">
        <f>VLOOKUP(F198,PAGO1,7,FALSE)</f>
        <v>#N/A</v>
      </c>
      <c r="L198" s="72">
        <f>VLOOKUP(I198,PAGO2,5,FALSE)</f>
        <v>1617000</v>
      </c>
      <c r="M198" s="72">
        <f>VLOOKUP(I198,PAGO3,5,FALSE)</f>
        <v>1940400</v>
      </c>
      <c r="O198" s="52" t="str">
        <f>VLOOKUP(I198,RANGOPAGOS5,7,FALSE)</f>
        <v>$ 1.940.400</v>
      </c>
      <c r="P198" s="52" t="str">
        <f>VLOOKUP(I198,RANGOPAGOS6,7,FALSE)</f>
        <v>$ 1.940.400,00</v>
      </c>
      <c r="Z198" s="52" t="str">
        <f t="shared" si="1"/>
        <v>#N/A</v>
      </c>
    </row>
    <row r="199">
      <c r="A199" s="52" t="s">
        <v>581</v>
      </c>
      <c r="B199" s="52" t="s">
        <v>908</v>
      </c>
      <c r="C199" s="52" t="s">
        <v>32</v>
      </c>
      <c r="D199" s="52" t="s">
        <v>6092</v>
      </c>
      <c r="E199" s="52" t="s">
        <v>1030</v>
      </c>
      <c r="F199" s="52" t="s">
        <v>909</v>
      </c>
      <c r="G199" s="52" t="s">
        <v>910</v>
      </c>
      <c r="H199" s="52" t="s">
        <v>911</v>
      </c>
      <c r="I199" s="52">
        <v>1.015424748E9</v>
      </c>
      <c r="J199" s="117" t="s">
        <v>1745</v>
      </c>
      <c r="K199" s="52" t="str">
        <f>VLOOKUP(F199,PAGO1,7,FALSE)</f>
        <v>#N/A</v>
      </c>
      <c r="L199" s="72">
        <f>VLOOKUP(I199,PAGO2,5,FALSE)</f>
        <v>6080500</v>
      </c>
      <c r="M199" s="72">
        <f>VLOOKUP(I199,PAGO3,5,FALSE)</f>
        <v>7296600</v>
      </c>
      <c r="O199" s="52" t="str">
        <f>VLOOKUP(I199,RANGOPAGOS5,7,FALSE)</f>
        <v>$ 7.296.600</v>
      </c>
      <c r="P199" s="52" t="str">
        <f>VLOOKUP(I199,RANGOPAGOS6,7,FALSE)</f>
        <v>$ 7.296.600,00</v>
      </c>
      <c r="Z199" s="52" t="str">
        <f t="shared" si="1"/>
        <v>#N/A</v>
      </c>
    </row>
    <row r="200">
      <c r="A200" s="52" t="s">
        <v>581</v>
      </c>
      <c r="B200" s="52" t="s">
        <v>913</v>
      </c>
      <c r="C200" s="52" t="s">
        <v>32</v>
      </c>
      <c r="D200" s="52" t="s">
        <v>6093</v>
      </c>
      <c r="E200" s="52" t="s">
        <v>1030</v>
      </c>
      <c r="F200" s="52" t="s">
        <v>914</v>
      </c>
      <c r="G200" s="52" t="s">
        <v>915</v>
      </c>
      <c r="H200" s="52" t="s">
        <v>916</v>
      </c>
      <c r="I200" s="52">
        <v>1.033769305E9</v>
      </c>
      <c r="J200" s="117" t="s">
        <v>1807</v>
      </c>
      <c r="K200" s="52" t="str">
        <f>VLOOKUP(F200,PAGO1,7,FALSE)</f>
        <v>#N/A</v>
      </c>
      <c r="L200" s="72">
        <f>VLOOKUP(I200,PAGO2,5,FALSE)</f>
        <v>6666667</v>
      </c>
      <c r="M200" s="72">
        <f>VLOOKUP(I200,PAGO3,5,FALSE)</f>
        <v>8000000</v>
      </c>
      <c r="O200" s="52" t="str">
        <f>VLOOKUP(I200,RANGOPAGOS5,7,FALSE)</f>
        <v>$ 8.000.000</v>
      </c>
      <c r="P200" s="52" t="str">
        <f>VLOOKUP(I200,RANGOPAGOS6,7,FALSE)</f>
        <v>$ 8.000.000,00</v>
      </c>
      <c r="Z200" s="52" t="str">
        <f t="shared" si="1"/>
        <v>#N/A</v>
      </c>
    </row>
    <row r="201">
      <c r="A201" s="52" t="s">
        <v>581</v>
      </c>
      <c r="B201" s="52" t="s">
        <v>918</v>
      </c>
      <c r="C201" s="52" t="s">
        <v>32</v>
      </c>
      <c r="D201" s="52" t="s">
        <v>6094</v>
      </c>
      <c r="E201" s="52" t="s">
        <v>1030</v>
      </c>
      <c r="F201" s="52" t="s">
        <v>919</v>
      </c>
      <c r="G201" s="52" t="s">
        <v>920</v>
      </c>
      <c r="H201" s="52" t="s">
        <v>921</v>
      </c>
      <c r="I201" s="52">
        <v>1.193406964E9</v>
      </c>
      <c r="J201" s="117" t="s">
        <v>1808</v>
      </c>
      <c r="K201" s="52" t="str">
        <f>VLOOKUP(F201,PAGO1,7,FALSE)</f>
        <v>#N/A</v>
      </c>
      <c r="L201" s="72">
        <f>VLOOKUP(I201,PAGO2,5,FALSE)</f>
        <v>3035760</v>
      </c>
      <c r="M201" s="72">
        <f>VLOOKUP(I201,PAGO3,5,FALSE)</f>
        <v>3794700</v>
      </c>
      <c r="O201" s="52" t="str">
        <f>VLOOKUP(I201,RANGOPAGOS5,7,FALSE)</f>
        <v>$ 3.794.700</v>
      </c>
      <c r="P201" s="52" t="str">
        <f>VLOOKUP(I201,RANGOPAGOS6,7,FALSE)</f>
        <v>$ 3.794.700,00</v>
      </c>
      <c r="Z201" s="52" t="str">
        <f t="shared" si="1"/>
        <v>#N/A</v>
      </c>
    </row>
    <row r="202">
      <c r="A202" s="52" t="s">
        <v>581</v>
      </c>
      <c r="B202" s="52"/>
      <c r="C202" s="52" t="s">
        <v>32</v>
      </c>
      <c r="D202" s="52" t="s">
        <v>6095</v>
      </c>
      <c r="E202" s="52" t="s">
        <v>1030</v>
      </c>
      <c r="F202" s="52" t="s">
        <v>923</v>
      </c>
      <c r="G202" s="52" t="s">
        <v>924</v>
      </c>
      <c r="H202" s="52" t="s">
        <v>925</v>
      </c>
      <c r="I202" s="52">
        <v>1.098826619E9</v>
      </c>
      <c r="J202" s="117" t="s">
        <v>1809</v>
      </c>
      <c r="K202" s="52" t="str">
        <f>VLOOKUP(F202,PAGO1,7,FALSE)</f>
        <v>#N/A</v>
      </c>
      <c r="L202" s="72">
        <f>VLOOKUP(I202,PAGO2,5,FALSE)</f>
        <v>4800000</v>
      </c>
      <c r="M202" s="72">
        <f>VLOOKUP(I202,PAGO3,5,FALSE)</f>
        <v>6000000</v>
      </c>
      <c r="O202" s="52" t="str">
        <f>VLOOKUP(I202,RANGOPAGOS5,7,FALSE)</f>
        <v>$ 6.000.000</v>
      </c>
      <c r="P202" s="52" t="str">
        <f>VLOOKUP(I202,RANGOPAGOS6,7,FALSE)</f>
        <v>$ 6.000.000,00</v>
      </c>
      <c r="Z202" s="52" t="str">
        <f t="shared" si="1"/>
        <v>#N/A</v>
      </c>
    </row>
    <row r="203">
      <c r="A203" s="52" t="s">
        <v>581</v>
      </c>
      <c r="B203" s="52" t="s">
        <v>927</v>
      </c>
      <c r="C203" s="52" t="s">
        <v>32</v>
      </c>
      <c r="D203" s="52" t="s">
        <v>6096</v>
      </c>
      <c r="E203" s="52" t="s">
        <v>1030</v>
      </c>
      <c r="F203" s="52" t="s">
        <v>928</v>
      </c>
      <c r="G203" s="52" t="s">
        <v>929</v>
      </c>
      <c r="H203" s="52" t="s">
        <v>930</v>
      </c>
      <c r="I203" s="52">
        <v>1.026579774E9</v>
      </c>
      <c r="J203" s="117" t="s">
        <v>1810</v>
      </c>
      <c r="K203" s="52" t="str">
        <f>VLOOKUP(F203,PAGO1,7,FALSE)</f>
        <v>#N/A</v>
      </c>
      <c r="L203" s="72">
        <f>VLOOKUP(I203,PAGO2,5,FALSE)</f>
        <v>5680000</v>
      </c>
      <c r="M203" s="72">
        <f>VLOOKUP(I203,PAGO3,5,FALSE)</f>
        <v>7100000</v>
      </c>
      <c r="O203" s="52" t="str">
        <f>VLOOKUP(I203,RANGOPAGOS5,7,FALSE)</f>
        <v>$ 7.100.000</v>
      </c>
      <c r="P203" s="52" t="str">
        <f>VLOOKUP(I203,RANGOPAGOS6,7,FALSE)</f>
        <v>$ 7.100.000,00</v>
      </c>
      <c r="Z203" s="52" t="str">
        <f t="shared" si="1"/>
        <v>#N/A</v>
      </c>
    </row>
    <row r="204">
      <c r="A204" s="52" t="s">
        <v>581</v>
      </c>
      <c r="B204" s="52"/>
      <c r="C204" s="52" t="s">
        <v>32</v>
      </c>
      <c r="D204" s="52" t="s">
        <v>6097</v>
      </c>
      <c r="E204" s="52" t="s">
        <v>781</v>
      </c>
      <c r="F204" s="52" t="s">
        <v>931</v>
      </c>
      <c r="G204" s="52" t="s">
        <v>932</v>
      </c>
      <c r="H204" s="52" t="s">
        <v>933</v>
      </c>
      <c r="I204" s="52">
        <v>1.010065876E9</v>
      </c>
      <c r="J204" s="117" t="s">
        <v>1767</v>
      </c>
      <c r="K204" s="52" t="str">
        <f>VLOOKUP(F204,PAGO1,7,FALSE)</f>
        <v>#N/A</v>
      </c>
      <c r="L204" s="72">
        <f>VLOOKUP(I204,PAGO2,5,FALSE)</f>
        <v>3333333</v>
      </c>
      <c r="M204" s="72">
        <f>VLOOKUP(I204,PAGO3,5,FALSE)</f>
        <v>4000000</v>
      </c>
      <c r="O204" s="52" t="str">
        <f>VLOOKUP(I204,RANGOPAGOS5,7,FALSE)</f>
        <v>$ 4.000.000</v>
      </c>
      <c r="P204" s="52" t="str">
        <f>VLOOKUP(I204,RANGOPAGOS6,7,FALSE)</f>
        <v>$ 4.000.000,00</v>
      </c>
      <c r="Z204" s="52" t="str">
        <f t="shared" si="1"/>
        <v>#N/A</v>
      </c>
    </row>
    <row r="205">
      <c r="A205" s="52" t="s">
        <v>581</v>
      </c>
      <c r="B205" s="52" t="s">
        <v>1002</v>
      </c>
      <c r="C205" s="52" t="s">
        <v>32</v>
      </c>
      <c r="D205" s="52" t="s">
        <v>6098</v>
      </c>
      <c r="E205" s="52" t="s">
        <v>1030</v>
      </c>
      <c r="F205" s="52" t="s">
        <v>935</v>
      </c>
      <c r="G205" s="52" t="s">
        <v>936</v>
      </c>
      <c r="H205" s="52" t="s">
        <v>937</v>
      </c>
      <c r="I205" s="52">
        <v>1.030610778E9</v>
      </c>
      <c r="J205" s="117" t="s">
        <v>1811</v>
      </c>
      <c r="K205" s="52" t="str">
        <f>VLOOKUP(F205,PAGO1,7,FALSE)</f>
        <v>#N/A</v>
      </c>
      <c r="L205" s="72">
        <f>VLOOKUP(I205,PAGO2,5,FALSE)</f>
        <v>5837280</v>
      </c>
      <c r="M205" s="72">
        <f>VLOOKUP(I205,PAGO3,5,FALSE)</f>
        <v>7296600</v>
      </c>
      <c r="O205" s="52" t="str">
        <f>VLOOKUP(I205,RANGOPAGOS5,7,FALSE)</f>
        <v>$ 7.296.600</v>
      </c>
      <c r="P205" s="52" t="str">
        <f>VLOOKUP(I205,RANGOPAGOS6,7,FALSE)</f>
        <v>$ 7.296.600,00</v>
      </c>
      <c r="Z205" s="52" t="str">
        <f t="shared" si="1"/>
        <v>#N/A</v>
      </c>
    </row>
    <row r="206">
      <c r="A206" s="52" t="s">
        <v>581</v>
      </c>
      <c r="B206" s="52" t="s">
        <v>1005</v>
      </c>
      <c r="C206" s="52" t="s">
        <v>32</v>
      </c>
      <c r="D206" s="52" t="s">
        <v>6099</v>
      </c>
      <c r="E206" s="52" t="s">
        <v>1030</v>
      </c>
      <c r="F206" s="52" t="s">
        <v>938</v>
      </c>
      <c r="G206" s="52" t="s">
        <v>939</v>
      </c>
      <c r="H206" s="52" t="s">
        <v>940</v>
      </c>
      <c r="I206" s="52">
        <v>1.088300611E9</v>
      </c>
      <c r="J206" s="117" t="s">
        <v>1811</v>
      </c>
      <c r="K206" s="52" t="str">
        <f>VLOOKUP(F206,PAGO1,7,FALSE)</f>
        <v>#N/A</v>
      </c>
      <c r="L206" s="72">
        <f>VLOOKUP(I206,PAGO2,5,FALSE)</f>
        <v>6080500</v>
      </c>
      <c r="M206" s="72">
        <f>VLOOKUP(I206,PAGO3,5,FALSE)</f>
        <v>7296600</v>
      </c>
      <c r="O206" s="52" t="str">
        <f>VLOOKUP(I206,RANGOPAGOS5,7,FALSE)</f>
        <v>$ 7.296.600</v>
      </c>
      <c r="P206" s="52" t="str">
        <f>VLOOKUP(I206,RANGOPAGOS6,7,FALSE)</f>
        <v>$ 7.296.600,00</v>
      </c>
      <c r="Z206" s="52" t="str">
        <f t="shared" si="1"/>
        <v>#N/A</v>
      </c>
    </row>
    <row r="207">
      <c r="A207" s="52" t="s">
        <v>581</v>
      </c>
      <c r="B207" s="52" t="s">
        <v>1009</v>
      </c>
      <c r="C207" s="52" t="s">
        <v>32</v>
      </c>
      <c r="D207" s="52" t="s">
        <v>6100</v>
      </c>
      <c r="E207" s="52" t="s">
        <v>1030</v>
      </c>
      <c r="F207" s="52" t="s">
        <v>942</v>
      </c>
      <c r="G207" s="52" t="s">
        <v>943</v>
      </c>
      <c r="H207" s="52" t="s">
        <v>944</v>
      </c>
      <c r="I207" s="52">
        <v>1.033736378E9</v>
      </c>
      <c r="J207" s="117" t="s">
        <v>1814</v>
      </c>
      <c r="K207" s="52" t="str">
        <f>VLOOKUP(F207,PAGO1,7,FALSE)</f>
        <v>#N/A</v>
      </c>
      <c r="L207" s="72">
        <f>VLOOKUP(I207,PAGO2,5,FALSE)</f>
        <v>6293200</v>
      </c>
      <c r="M207" s="72">
        <f>VLOOKUP(I207,PAGO3,5,FALSE)</f>
        <v>7866500</v>
      </c>
      <c r="O207" s="52" t="str">
        <f>VLOOKUP(I207,RANGOPAGOS5,7,FALSE)</f>
        <v>$ 7.866.500</v>
      </c>
      <c r="P207" s="52" t="str">
        <f>VLOOKUP(I207,RANGOPAGOS6,7,FALSE)</f>
        <v>$ 7.866.500,00</v>
      </c>
      <c r="Z207" s="52" t="str">
        <f t="shared" si="1"/>
        <v>#N/A</v>
      </c>
    </row>
    <row r="208">
      <c r="A208" s="52" t="s">
        <v>581</v>
      </c>
      <c r="B208" s="52" t="s">
        <v>1013</v>
      </c>
      <c r="C208" s="52" t="s">
        <v>32</v>
      </c>
      <c r="D208" s="52" t="s">
        <v>6101</v>
      </c>
      <c r="E208" s="52" t="s">
        <v>1030</v>
      </c>
      <c r="F208" s="52" t="s">
        <v>945</v>
      </c>
      <c r="G208" s="52" t="s">
        <v>946</v>
      </c>
      <c r="H208" s="52" t="s">
        <v>947</v>
      </c>
      <c r="I208" s="52">
        <v>1.022995967E9</v>
      </c>
      <c r="J208" s="117" t="s">
        <v>1816</v>
      </c>
      <c r="K208" s="52" t="str">
        <f>VLOOKUP(F208,PAGO1,7,FALSE)</f>
        <v>#N/A</v>
      </c>
      <c r="L208" s="72">
        <f>VLOOKUP(I208,PAGO2,5,FALSE)</f>
        <v>3637440</v>
      </c>
      <c r="M208" s="72">
        <f>VLOOKUP(I208,PAGO3,5,FALSE)</f>
        <v>4546800</v>
      </c>
      <c r="O208" s="52" t="str">
        <f>VLOOKUP(I208,RANGOPAGOS5,7,FALSE)</f>
        <v>$ 4.546.800</v>
      </c>
      <c r="P208" s="52" t="str">
        <f>VLOOKUP(I208,RANGOPAGOS6,7,FALSE)</f>
        <v>$ 4.546.800,00</v>
      </c>
      <c r="Z208" s="52" t="str">
        <f t="shared" si="1"/>
        <v>#N/A</v>
      </c>
    </row>
    <row r="209">
      <c r="A209" s="52" t="s">
        <v>581</v>
      </c>
      <c r="B209" s="52" t="s">
        <v>1017</v>
      </c>
      <c r="C209" s="52" t="s">
        <v>32</v>
      </c>
      <c r="D209" s="52" t="s">
        <v>6102</v>
      </c>
      <c r="E209" s="52" t="s">
        <v>1030</v>
      </c>
      <c r="F209" s="52" t="s">
        <v>948</v>
      </c>
      <c r="G209" s="52" t="s">
        <v>949</v>
      </c>
      <c r="H209" s="52" t="s">
        <v>950</v>
      </c>
      <c r="I209" s="52">
        <v>1.032433564E9</v>
      </c>
      <c r="J209" s="117" t="s">
        <v>1817</v>
      </c>
      <c r="K209" s="52" t="str">
        <f>VLOOKUP(F209,PAGO1,7,FALSE)</f>
        <v>#N/A</v>
      </c>
      <c r="L209" s="72">
        <f>VLOOKUP(I209,PAGO2,5,FALSE)</f>
        <v>7176272</v>
      </c>
      <c r="M209" s="72">
        <f>VLOOKUP(I209,PAGO3,5,FALSE)</f>
        <v>11960454</v>
      </c>
      <c r="O209" s="52" t="str">
        <f>VLOOKUP(I209,RANGOPAGOS5,7,FALSE)</f>
        <v>$ 11.960.454</v>
      </c>
      <c r="P209" s="52" t="str">
        <f>VLOOKUP(I209,RANGOPAGOS6,7,FALSE)</f>
        <v>$ 11.960.454,00</v>
      </c>
      <c r="Z209" s="52" t="str">
        <f t="shared" si="1"/>
        <v>#N/A</v>
      </c>
    </row>
    <row r="210">
      <c r="A210" s="52"/>
      <c r="B210" s="52" t="s">
        <v>1021</v>
      </c>
      <c r="C210" s="52" t="s">
        <v>32</v>
      </c>
      <c r="D210" s="52" t="s">
        <v>6103</v>
      </c>
      <c r="E210" s="52"/>
      <c r="F210" s="52" t="s">
        <v>2805</v>
      </c>
      <c r="G210" s="52"/>
      <c r="H210" s="52"/>
      <c r="I210" s="52"/>
      <c r="J210" s="117"/>
      <c r="K210" s="52" t="str">
        <f>VLOOKUP(F210,PAGO1,7,FALSE)</f>
        <v>#N/A</v>
      </c>
      <c r="L210" s="52" t="str">
        <f>VLOOKUP(I210,PAGO2,5,FALSE)</f>
        <v>#N/A</v>
      </c>
      <c r="M210" s="52" t="str">
        <f>VLOOKUP(I210,PAGO3,5,FALSE)</f>
        <v>#N/A</v>
      </c>
      <c r="O210" s="52" t="str">
        <f>VLOOKUP(I210,RANGOPAGOS5,7,FALSE)</f>
        <v>#N/A</v>
      </c>
      <c r="P210" s="52" t="str">
        <f>VLOOKUP(I210,RANGOPAGOS6,7,FALSE)</f>
        <v>#N/A</v>
      </c>
      <c r="Z210" s="52" t="str">
        <f t="shared" si="1"/>
        <v>#N/A</v>
      </c>
    </row>
    <row r="211">
      <c r="A211" s="52" t="s">
        <v>581</v>
      </c>
      <c r="B211" s="52" t="s">
        <v>1025</v>
      </c>
      <c r="C211" s="52" t="s">
        <v>32</v>
      </c>
      <c r="D211" s="52" t="s">
        <v>6104</v>
      </c>
      <c r="E211" s="52" t="s">
        <v>1030</v>
      </c>
      <c r="F211" s="52" t="s">
        <v>951</v>
      </c>
      <c r="G211" s="52" t="s">
        <v>952</v>
      </c>
      <c r="H211" s="52" t="s">
        <v>953</v>
      </c>
      <c r="I211" s="52">
        <v>8.085303E7</v>
      </c>
      <c r="J211" s="117" t="s">
        <v>1766</v>
      </c>
      <c r="K211" s="52" t="str">
        <f>VLOOKUP(F211,PAGO1,7,FALSE)</f>
        <v>#N/A</v>
      </c>
      <c r="L211" s="72">
        <f>VLOOKUP(I211,PAGO2,5,FALSE)</f>
        <v>6580500</v>
      </c>
      <c r="M211" s="72">
        <f>VLOOKUP(I211,PAGO3,5,FALSE)</f>
        <v>7896600</v>
      </c>
      <c r="O211" s="52" t="str">
        <f>VLOOKUP(I211,RANGOPAGOS5,7,FALSE)</f>
        <v>$ 7.896.600</v>
      </c>
      <c r="P211" s="52" t="str">
        <f>VLOOKUP(I211,RANGOPAGOS6,7,FALSE)</f>
        <v>$ 7.896.600,00</v>
      </c>
      <c r="Z211" s="52" t="str">
        <f t="shared" si="1"/>
        <v>#N/A</v>
      </c>
    </row>
    <row r="212">
      <c r="A212" s="52" t="s">
        <v>581</v>
      </c>
      <c r="B212" s="52" t="s">
        <v>1029</v>
      </c>
      <c r="C212" s="52" t="s">
        <v>32</v>
      </c>
      <c r="D212" s="52" t="s">
        <v>6105</v>
      </c>
      <c r="E212" s="52" t="s">
        <v>781</v>
      </c>
      <c r="F212" s="52" t="s">
        <v>954</v>
      </c>
      <c r="G212" s="52" t="s">
        <v>955</v>
      </c>
      <c r="H212" s="52" t="s">
        <v>956</v>
      </c>
      <c r="I212" s="52">
        <v>1.019038567E9</v>
      </c>
      <c r="J212" s="117" t="s">
        <v>1818</v>
      </c>
      <c r="K212" s="52" t="str">
        <f>VLOOKUP(F212,PAGO1,7,FALSE)</f>
        <v>#N/A</v>
      </c>
      <c r="L212" s="72">
        <f>VLOOKUP(I212,PAGO2,5,FALSE)</f>
        <v>4816667</v>
      </c>
      <c r="M212" s="72">
        <f>VLOOKUP(I212,PAGO3,5,FALSE)</f>
        <v>5780000</v>
      </c>
      <c r="O212" s="52" t="str">
        <f>VLOOKUP(I212,RANGOPAGOS5,7,FALSE)</f>
        <v>$ 5.780.000</v>
      </c>
      <c r="P212" s="52" t="str">
        <f>VLOOKUP(I212,RANGOPAGOS6,7,FALSE)</f>
        <v>$ 5.780.000,00</v>
      </c>
      <c r="Z212" s="52" t="str">
        <f t="shared" si="1"/>
        <v>#N/A</v>
      </c>
    </row>
    <row r="213">
      <c r="A213" s="52" t="s">
        <v>581</v>
      </c>
      <c r="B213" s="52" t="s">
        <v>1034</v>
      </c>
      <c r="C213" s="52" t="s">
        <v>32</v>
      </c>
      <c r="D213" s="52" t="s">
        <v>6106</v>
      </c>
      <c r="E213" s="52" t="s">
        <v>1030</v>
      </c>
      <c r="F213" s="52" t="s">
        <v>957</v>
      </c>
      <c r="G213" s="52" t="s">
        <v>958</v>
      </c>
      <c r="H213" s="52" t="s">
        <v>959</v>
      </c>
      <c r="I213" s="52">
        <v>1.233693111E9</v>
      </c>
      <c r="J213" s="117" t="s">
        <v>1820</v>
      </c>
      <c r="K213" s="52" t="str">
        <f>VLOOKUP(F213,PAGO1,7,FALSE)</f>
        <v>#N/A</v>
      </c>
      <c r="L213" s="72">
        <f>VLOOKUP(I213,PAGO2,5,FALSE)</f>
        <v>3522750</v>
      </c>
      <c r="M213" s="72">
        <f>VLOOKUP(I213,PAGO3,5,FALSE)</f>
        <v>4227300</v>
      </c>
      <c r="O213" s="52" t="str">
        <f>VLOOKUP(I213,RANGOPAGOS5,7,FALSE)</f>
        <v>$ 4.227.300</v>
      </c>
      <c r="P213" s="52" t="str">
        <f>VLOOKUP(I213,RANGOPAGOS6,7,FALSE)</f>
        <v>$ 4.227.300,00</v>
      </c>
      <c r="Z213" s="52" t="str">
        <f t="shared" si="1"/>
        <v>#N/A</v>
      </c>
    </row>
    <row r="214">
      <c r="A214" s="52" t="s">
        <v>581</v>
      </c>
      <c r="B214" s="52" t="s">
        <v>1038</v>
      </c>
      <c r="C214" s="52" t="s">
        <v>32</v>
      </c>
      <c r="D214" s="52" t="s">
        <v>6107</v>
      </c>
      <c r="E214" s="52" t="s">
        <v>1030</v>
      </c>
      <c r="F214" s="52" t="s">
        <v>960</v>
      </c>
      <c r="G214" s="52" t="s">
        <v>961</v>
      </c>
      <c r="H214" s="52" t="s">
        <v>962</v>
      </c>
      <c r="I214" s="52">
        <v>1.010210361E9</v>
      </c>
      <c r="J214" s="117" t="s">
        <v>1821</v>
      </c>
      <c r="K214" s="52" t="str">
        <f>VLOOKUP(F214,PAGO1,7,FALSE)</f>
        <v>#N/A</v>
      </c>
      <c r="L214" s="72">
        <f>VLOOKUP(I214,PAGO2,5,FALSE)</f>
        <v>4933760</v>
      </c>
      <c r="M214" s="72">
        <f>VLOOKUP(I214,PAGO3,5,FALSE)</f>
        <v>6167200</v>
      </c>
      <c r="O214" s="52" t="str">
        <f>VLOOKUP(I214,RANGOPAGOS5,7,FALSE)</f>
        <v>$ 6.167.200</v>
      </c>
      <c r="P214" s="52" t="str">
        <f>VLOOKUP(I214,RANGOPAGOS6,7,FALSE)</f>
        <v>$ 6.167.200,00</v>
      </c>
      <c r="Z214" s="52" t="str">
        <f t="shared" si="1"/>
        <v>#N/A</v>
      </c>
    </row>
    <row r="215">
      <c r="A215" s="52" t="s">
        <v>581</v>
      </c>
      <c r="B215" s="52" t="s">
        <v>1041</v>
      </c>
      <c r="C215" s="52" t="s">
        <v>32</v>
      </c>
      <c r="D215" s="52" t="s">
        <v>6108</v>
      </c>
      <c r="E215" s="52" t="s">
        <v>1030</v>
      </c>
      <c r="F215" s="52" t="s">
        <v>963</v>
      </c>
      <c r="G215" s="52" t="s">
        <v>964</v>
      </c>
      <c r="H215" s="52" t="s">
        <v>965</v>
      </c>
      <c r="I215" s="52">
        <v>1.001185909E9</v>
      </c>
      <c r="J215" s="117" t="s">
        <v>1822</v>
      </c>
      <c r="K215" s="52" t="str">
        <f>VLOOKUP(F215,PAGO1,7,FALSE)</f>
        <v>#N/A</v>
      </c>
      <c r="L215" s="72">
        <f>VLOOKUP(I215,PAGO2,5,FALSE)</f>
        <v>2603280</v>
      </c>
      <c r="M215" s="72">
        <f>VLOOKUP(I215,PAGO3,5,FALSE)</f>
        <v>3254100</v>
      </c>
      <c r="O215" s="52" t="str">
        <f>VLOOKUP(I215,RANGOPAGOS5,7,FALSE)</f>
        <v>$ 3.254.100</v>
      </c>
      <c r="P215" s="52" t="str">
        <f>VLOOKUP(I215,RANGOPAGOS6,7,FALSE)</f>
        <v>$ 3.254.100,00</v>
      </c>
      <c r="Z215" s="52" t="str">
        <f t="shared" si="1"/>
        <v>#N/A</v>
      </c>
    </row>
    <row r="216">
      <c r="A216" s="52" t="s">
        <v>581</v>
      </c>
      <c r="B216" s="52" t="s">
        <v>1045</v>
      </c>
      <c r="C216" s="52" t="s">
        <v>32</v>
      </c>
      <c r="D216" s="52" t="s">
        <v>6109</v>
      </c>
      <c r="E216" s="52" t="s">
        <v>781</v>
      </c>
      <c r="F216" s="52" t="s">
        <v>967</v>
      </c>
      <c r="G216" s="52" t="s">
        <v>968</v>
      </c>
      <c r="H216" s="52" t="s">
        <v>969</v>
      </c>
      <c r="I216" s="52">
        <v>1.049640327E9</v>
      </c>
      <c r="J216" s="117" t="s">
        <v>1824</v>
      </c>
      <c r="K216" s="52" t="str">
        <f>VLOOKUP(F216,PAGO1,7,FALSE)</f>
        <v>#N/A</v>
      </c>
      <c r="L216" s="72">
        <f>VLOOKUP(I216,PAGO2,5,FALSE)</f>
        <v>5076800</v>
      </c>
      <c r="M216" s="72">
        <f>VLOOKUP(I216,PAGO3,5,FALSE)</f>
        <v>6346000</v>
      </c>
      <c r="O216" s="52" t="str">
        <f>VLOOKUP(I216,RANGOPAGOS5,7,FALSE)</f>
        <v>$ 6.346.000</v>
      </c>
      <c r="P216" s="52" t="str">
        <f>VLOOKUP(I216,RANGOPAGOS6,7,FALSE)</f>
        <v>$ 6.346.000,00</v>
      </c>
      <c r="Z216" s="52" t="str">
        <f t="shared" si="1"/>
        <v>#N/A</v>
      </c>
    </row>
    <row r="217">
      <c r="A217" s="52" t="s">
        <v>581</v>
      </c>
      <c r="B217" s="52" t="s">
        <v>1049</v>
      </c>
      <c r="C217" s="52" t="s">
        <v>32</v>
      </c>
      <c r="D217" s="52" t="s">
        <v>6110</v>
      </c>
      <c r="E217" s="52" t="s">
        <v>781</v>
      </c>
      <c r="F217" s="52" t="s">
        <v>970</v>
      </c>
      <c r="G217" s="52" t="s">
        <v>971</v>
      </c>
      <c r="H217" s="52" t="s">
        <v>972</v>
      </c>
      <c r="I217" s="52">
        <v>1.010198057E9</v>
      </c>
      <c r="J217" s="117" t="s">
        <v>1824</v>
      </c>
      <c r="K217" s="52" t="str">
        <f>VLOOKUP(F217,PAGO1,7,FALSE)</f>
        <v>#N/A</v>
      </c>
      <c r="L217" s="72">
        <f>VLOOKUP(I217,PAGO2,5,FALSE)</f>
        <v>4442200</v>
      </c>
      <c r="M217" s="72">
        <f>VLOOKUP(I217,PAGO3,5,FALSE)</f>
        <v>6346000</v>
      </c>
      <c r="O217" s="52" t="str">
        <f>VLOOKUP(I217,RANGOPAGOS5,7,FALSE)</f>
        <v>$ 6.346.000</v>
      </c>
      <c r="P217" s="52" t="str">
        <f>VLOOKUP(I217,RANGOPAGOS6,7,FALSE)</f>
        <v>$ 6.346.000,00</v>
      </c>
      <c r="Z217" s="52" t="str">
        <f t="shared" si="1"/>
        <v>#N/A</v>
      </c>
    </row>
    <row r="218">
      <c r="A218" s="52" t="s">
        <v>581</v>
      </c>
      <c r="B218" s="52" t="s">
        <v>1053</v>
      </c>
      <c r="C218" s="52" t="s">
        <v>32</v>
      </c>
      <c r="D218" s="52" t="s">
        <v>6111</v>
      </c>
      <c r="E218" s="52" t="s">
        <v>1030</v>
      </c>
      <c r="F218" s="52" t="s">
        <v>974</v>
      </c>
      <c r="G218" s="52" t="s">
        <v>975</v>
      </c>
      <c r="H218" s="52" t="s">
        <v>976</v>
      </c>
      <c r="I218" s="52">
        <v>1.070918327E9</v>
      </c>
      <c r="J218" s="117" t="s">
        <v>1811</v>
      </c>
      <c r="K218" s="52" t="str">
        <f>VLOOKUP(F218,PAGO1,7,FALSE)</f>
        <v>#N/A</v>
      </c>
      <c r="L218" s="72">
        <f>VLOOKUP(I218,PAGO2,5,FALSE)</f>
        <v>5837280</v>
      </c>
      <c r="M218" s="72">
        <f>VLOOKUP(I218,PAGO3,5,FALSE)</f>
        <v>7296600</v>
      </c>
      <c r="O218" s="52" t="str">
        <f>VLOOKUP(I218,RANGOPAGOS5,7,FALSE)</f>
        <v>$ 7.296.600</v>
      </c>
      <c r="P218" s="52" t="str">
        <f>VLOOKUP(I218,RANGOPAGOS6,7,FALSE)</f>
        <v>$ 7.296.600,00</v>
      </c>
      <c r="Z218" s="52" t="str">
        <f t="shared" si="1"/>
        <v>#N/A</v>
      </c>
    </row>
    <row r="219">
      <c r="A219" s="52"/>
      <c r="B219" s="52" t="s">
        <v>1057</v>
      </c>
      <c r="C219" s="52" t="s">
        <v>32</v>
      </c>
      <c r="D219" s="52" t="s">
        <v>6112</v>
      </c>
      <c r="E219" s="52" t="s">
        <v>1030</v>
      </c>
      <c r="F219" s="52" t="s">
        <v>3287</v>
      </c>
      <c r="G219" s="52"/>
      <c r="H219" s="52" t="s">
        <v>3288</v>
      </c>
      <c r="I219" s="52"/>
      <c r="J219" s="117" t="s">
        <v>587</v>
      </c>
      <c r="K219" s="52" t="str">
        <f>VLOOKUP(F219,PAGO1,7,FALSE)</f>
        <v>#N/A</v>
      </c>
      <c r="L219" s="52" t="str">
        <f>VLOOKUP(I219,PAGO2,5,FALSE)</f>
        <v>#N/A</v>
      </c>
      <c r="M219" s="52" t="str">
        <f>VLOOKUP(I219,PAGO3,5,FALSE)</f>
        <v>#N/A</v>
      </c>
      <c r="O219" s="52" t="str">
        <f>VLOOKUP(I219,RANGOPAGOS5,7,FALSE)</f>
        <v>#N/A</v>
      </c>
      <c r="P219" s="52" t="str">
        <f>VLOOKUP(I219,RANGOPAGOS6,7,FALSE)</f>
        <v>#N/A</v>
      </c>
      <c r="Z219" s="52" t="str">
        <f t="shared" si="1"/>
        <v>#N/A</v>
      </c>
    </row>
    <row r="220">
      <c r="A220" s="52" t="s">
        <v>581</v>
      </c>
      <c r="B220" s="52" t="s">
        <v>1061</v>
      </c>
      <c r="C220" s="52" t="s">
        <v>32</v>
      </c>
      <c r="D220" s="52" t="s">
        <v>6113</v>
      </c>
      <c r="E220" s="52" t="s">
        <v>583</v>
      </c>
      <c r="F220" s="52" t="s">
        <v>977</v>
      </c>
      <c r="G220" s="52" t="s">
        <v>978</v>
      </c>
      <c r="H220" s="52" t="s">
        <v>979</v>
      </c>
      <c r="I220" s="52">
        <v>7.9272744E7</v>
      </c>
      <c r="J220" s="117" t="s">
        <v>1811</v>
      </c>
      <c r="K220" s="52" t="str">
        <f>VLOOKUP(F220,PAGO1,7,FALSE)</f>
        <v>#N/A</v>
      </c>
      <c r="L220" s="72">
        <f>VLOOKUP(I220,PAGO2,5,FALSE)</f>
        <v>6080500</v>
      </c>
      <c r="M220" s="72">
        <f>VLOOKUP(I220,PAGO3,5,FALSE)</f>
        <v>7296600</v>
      </c>
      <c r="O220" s="52" t="str">
        <f>VLOOKUP(I220,RANGOPAGOS5,7,FALSE)</f>
        <v>$ 7.296.600</v>
      </c>
      <c r="P220" s="52" t="str">
        <f>VLOOKUP(I220,RANGOPAGOS6,7,FALSE)</f>
        <v>$ 7.296.600,00</v>
      </c>
      <c r="Z220" s="52" t="str">
        <f t="shared" si="1"/>
        <v>#N/A</v>
      </c>
    </row>
    <row r="221">
      <c r="A221" s="52" t="s">
        <v>581</v>
      </c>
      <c r="B221" s="52" t="s">
        <v>1065</v>
      </c>
      <c r="C221" s="52" t="s">
        <v>32</v>
      </c>
      <c r="D221" s="52" t="s">
        <v>6114</v>
      </c>
      <c r="E221" s="52" t="s">
        <v>1030</v>
      </c>
      <c r="F221" s="52" t="s">
        <v>980</v>
      </c>
      <c r="G221" s="52" t="s">
        <v>981</v>
      </c>
      <c r="H221" s="52" t="s">
        <v>982</v>
      </c>
      <c r="I221" s="52">
        <v>1.049623315E9</v>
      </c>
      <c r="J221" s="117" t="s">
        <v>1827</v>
      </c>
      <c r="K221" s="52" t="str">
        <f>VLOOKUP(F221,PAGO1,7,FALSE)</f>
        <v>#N/A</v>
      </c>
      <c r="L221" s="72">
        <f>VLOOKUP(I221,PAGO2,5,FALSE)</f>
        <v>4960000</v>
      </c>
      <c r="M221" s="72">
        <f>VLOOKUP(I221,PAGO3,5,FALSE)</f>
        <v>6200000</v>
      </c>
      <c r="O221" s="52" t="str">
        <f>VLOOKUP(I221,RANGOPAGOS5,7,FALSE)</f>
        <v>$ 6.200.000</v>
      </c>
      <c r="P221" s="52" t="str">
        <f>VLOOKUP(I221,RANGOPAGOS6,7,FALSE)</f>
        <v>$ 6.200.000,00</v>
      </c>
      <c r="Z221" s="52" t="str">
        <f t="shared" si="1"/>
        <v>#N/A</v>
      </c>
    </row>
    <row r="222">
      <c r="A222" s="52" t="s">
        <v>581</v>
      </c>
      <c r="B222" s="52" t="s">
        <v>1068</v>
      </c>
      <c r="C222" s="52" t="s">
        <v>32</v>
      </c>
      <c r="D222" s="52" t="s">
        <v>6115</v>
      </c>
      <c r="E222" s="52" t="s">
        <v>1030</v>
      </c>
      <c r="F222" s="52" t="s">
        <v>983</v>
      </c>
      <c r="G222" s="52" t="s">
        <v>984</v>
      </c>
      <c r="H222" s="52" t="s">
        <v>985</v>
      </c>
      <c r="I222" s="52">
        <v>1.0207309E9</v>
      </c>
      <c r="J222" s="117" t="s">
        <v>1828</v>
      </c>
      <c r="K222" s="52" t="str">
        <f>VLOOKUP(F222,PAGO1,7,FALSE)</f>
        <v>#N/A</v>
      </c>
      <c r="L222" s="72">
        <f>VLOOKUP(I222,PAGO2,5,FALSE)</f>
        <v>9289040</v>
      </c>
      <c r="M222" s="72">
        <f>VLOOKUP(I222,PAGO3,5,FALSE)</f>
        <v>11611300</v>
      </c>
      <c r="O222" s="52" t="str">
        <f>VLOOKUP(I222,RANGOPAGOS5,7,FALSE)</f>
        <v>$ 11.611.300</v>
      </c>
      <c r="P222" s="52" t="str">
        <f>VLOOKUP(I222,RANGOPAGOS6,7,FALSE)</f>
        <v>$ 11.611.300,00</v>
      </c>
      <c r="Z222" s="52" t="str">
        <f t="shared" si="1"/>
        <v>#N/A</v>
      </c>
    </row>
    <row r="223">
      <c r="A223" s="52" t="s">
        <v>581</v>
      </c>
      <c r="B223" s="52" t="s">
        <v>1072</v>
      </c>
      <c r="C223" s="52" t="s">
        <v>32</v>
      </c>
      <c r="D223" s="52" t="s">
        <v>6116</v>
      </c>
      <c r="E223" s="52" t="s">
        <v>781</v>
      </c>
      <c r="F223" s="52" t="s">
        <v>986</v>
      </c>
      <c r="G223" s="52" t="s">
        <v>987</v>
      </c>
      <c r="H223" s="52" t="s">
        <v>988</v>
      </c>
      <c r="I223" s="52">
        <v>1.032450346E9</v>
      </c>
      <c r="J223" s="117" t="s">
        <v>1830</v>
      </c>
      <c r="K223" s="52" t="str">
        <f>VLOOKUP(F223,PAGO1,7,FALSE)</f>
        <v>#N/A</v>
      </c>
      <c r="L223" s="72">
        <f>VLOOKUP(I223,PAGO2,5,FALSE)</f>
        <v>2858380</v>
      </c>
      <c r="M223" s="72">
        <f>VLOOKUP(I223,PAGO3,5,FALSE)</f>
        <v>5044200</v>
      </c>
      <c r="O223" s="52" t="str">
        <f>VLOOKUP(I223,RANGOPAGOS5,7,FALSE)</f>
        <v>$ 5.044.200</v>
      </c>
      <c r="P223" s="52" t="str">
        <f>VLOOKUP(I223,RANGOPAGOS6,7,FALSE)</f>
        <v>$ 5.044.200,00</v>
      </c>
      <c r="Z223" s="52" t="str">
        <f t="shared" si="1"/>
        <v>#N/A</v>
      </c>
    </row>
    <row r="224">
      <c r="A224" s="52" t="s">
        <v>581</v>
      </c>
      <c r="B224" s="52" t="s">
        <v>1076</v>
      </c>
      <c r="C224" s="52" t="s">
        <v>32</v>
      </c>
      <c r="D224" s="52" t="s">
        <v>6117</v>
      </c>
      <c r="E224" s="52" t="s">
        <v>781</v>
      </c>
      <c r="F224" s="52" t="s">
        <v>989</v>
      </c>
      <c r="G224" s="52" t="s">
        <v>990</v>
      </c>
      <c r="H224" s="52" t="s">
        <v>1831</v>
      </c>
      <c r="I224" s="52">
        <v>1.077149572E9</v>
      </c>
      <c r="J224" s="117" t="s">
        <v>1486</v>
      </c>
      <c r="K224" s="52" t="str">
        <f>VLOOKUP(F224,PAGO1,7,FALSE)</f>
        <v>#N/A</v>
      </c>
      <c r="L224" s="72">
        <f>VLOOKUP(I224,PAGO2,5,FALSE)</f>
        <v>2800000</v>
      </c>
      <c r="M224" s="72">
        <f>VLOOKUP(I224,PAGO3,5,FALSE)</f>
        <v>4000000</v>
      </c>
      <c r="O224" s="52" t="str">
        <f>VLOOKUP(I224,RANGOPAGOS5,7,FALSE)</f>
        <v>$ 4.000.000</v>
      </c>
      <c r="P224" s="52" t="str">
        <f>VLOOKUP(I224,RANGOPAGOS6,7,FALSE)</f>
        <v>$ 4.000.000,00</v>
      </c>
      <c r="Z224" s="52" t="str">
        <f t="shared" si="1"/>
        <v>#N/A</v>
      </c>
    </row>
    <row r="225">
      <c r="A225" s="52"/>
      <c r="B225" s="52" t="s">
        <v>1080</v>
      </c>
      <c r="C225" s="52" t="s">
        <v>32</v>
      </c>
      <c r="D225" s="52" t="s">
        <v>6118</v>
      </c>
      <c r="E225" s="52"/>
      <c r="F225" s="52" t="s">
        <v>2805</v>
      </c>
      <c r="G225" s="52"/>
      <c r="H225" s="52"/>
      <c r="I225" s="52"/>
      <c r="J225" s="117"/>
      <c r="K225" s="52" t="str">
        <f>VLOOKUP(F225,PAGO1,7,FALSE)</f>
        <v>#N/A</v>
      </c>
      <c r="L225" s="52" t="str">
        <f>VLOOKUP(I225,PAGO2,5,FALSE)</f>
        <v>#N/A</v>
      </c>
      <c r="M225" s="52" t="str">
        <f>VLOOKUP(I225,PAGO3,5,FALSE)</f>
        <v>#N/A</v>
      </c>
      <c r="O225" s="52" t="str">
        <f>VLOOKUP(I225,RANGOPAGOS5,7,FALSE)</f>
        <v>#N/A</v>
      </c>
      <c r="P225" s="52" t="str">
        <f>VLOOKUP(I225,RANGOPAGOS6,7,FALSE)</f>
        <v>#N/A</v>
      </c>
      <c r="Z225" s="52" t="str">
        <f t="shared" si="1"/>
        <v>#N/A</v>
      </c>
    </row>
    <row r="226">
      <c r="A226" s="52" t="s">
        <v>581</v>
      </c>
      <c r="B226" s="52" t="s">
        <v>1084</v>
      </c>
      <c r="C226" s="52" t="s">
        <v>32</v>
      </c>
      <c r="D226" s="52" t="s">
        <v>6119</v>
      </c>
      <c r="E226" s="52" t="s">
        <v>1030</v>
      </c>
      <c r="F226" s="52" t="s">
        <v>993</v>
      </c>
      <c r="G226" s="52" t="s">
        <v>994</v>
      </c>
      <c r="H226" s="52" t="s">
        <v>995</v>
      </c>
      <c r="I226" s="52">
        <v>1.1433786E9</v>
      </c>
      <c r="J226" s="117" t="s">
        <v>1832</v>
      </c>
      <c r="K226" s="52" t="str">
        <f>VLOOKUP(F226,PAGO1,7,FALSE)</f>
        <v>#N/A</v>
      </c>
      <c r="L226" s="72">
        <f>VLOOKUP(I226,PAGO2,5,FALSE)</f>
        <v>5600000</v>
      </c>
      <c r="M226" s="72">
        <f>VLOOKUP(I226,PAGO3,5,FALSE)</f>
        <v>8000000</v>
      </c>
      <c r="O226" s="52" t="str">
        <f>VLOOKUP(I226,RANGOPAGOS5,7,FALSE)</f>
        <v>$ 8.000.000</v>
      </c>
      <c r="P226" s="52" t="str">
        <f>VLOOKUP(I226,RANGOPAGOS6,7,FALSE)</f>
        <v>$ 8.000.000,00</v>
      </c>
      <c r="Z226" s="52" t="str">
        <f t="shared" si="1"/>
        <v>#N/A</v>
      </c>
    </row>
    <row r="227">
      <c r="A227" s="52"/>
      <c r="B227" s="52" t="s">
        <v>3465</v>
      </c>
      <c r="C227" s="52" t="s">
        <v>32</v>
      </c>
      <c r="D227" s="52" t="s">
        <v>6120</v>
      </c>
      <c r="E227" s="52" t="s">
        <v>1030</v>
      </c>
      <c r="F227" s="52" t="s">
        <v>3327</v>
      </c>
      <c r="G227" s="52" t="s">
        <v>3333</v>
      </c>
      <c r="H227" s="52" t="s">
        <v>3328</v>
      </c>
      <c r="I227" s="52"/>
      <c r="J227" s="117" t="s">
        <v>587</v>
      </c>
      <c r="K227" s="52" t="str">
        <f>VLOOKUP(F227,PAGO1,7,FALSE)</f>
        <v>#N/A</v>
      </c>
      <c r="L227" s="52" t="str">
        <f>VLOOKUP(I227,PAGO2,5,FALSE)</f>
        <v>#N/A</v>
      </c>
      <c r="M227" s="52" t="str">
        <f>VLOOKUP(I227,PAGO3,5,FALSE)</f>
        <v>#N/A</v>
      </c>
      <c r="O227" s="52" t="str">
        <f>VLOOKUP(I227,RANGOPAGOS5,7,FALSE)</f>
        <v>#N/A</v>
      </c>
      <c r="P227" s="52" t="str">
        <f>VLOOKUP(I227,RANGOPAGOS6,7,FALSE)</f>
        <v>#N/A</v>
      </c>
      <c r="Z227" s="52" t="str">
        <f t="shared" si="1"/>
        <v>#N/A</v>
      </c>
    </row>
    <row r="228">
      <c r="A228" s="52" t="s">
        <v>581</v>
      </c>
      <c r="B228" s="52" t="s">
        <v>1088</v>
      </c>
      <c r="C228" s="52" t="s">
        <v>32</v>
      </c>
      <c r="D228" s="52" t="s">
        <v>6121</v>
      </c>
      <c r="E228" s="52" t="s">
        <v>1030</v>
      </c>
      <c r="F228" s="52" t="s">
        <v>996</v>
      </c>
      <c r="G228" s="52" t="s">
        <v>997</v>
      </c>
      <c r="H228" s="52" t="s">
        <v>998</v>
      </c>
      <c r="I228" s="52">
        <v>1.015440358E9</v>
      </c>
      <c r="J228" s="117" t="s">
        <v>1833</v>
      </c>
      <c r="K228" s="52" t="str">
        <f>VLOOKUP(F228,PAGO1,7,FALSE)</f>
        <v>#N/A</v>
      </c>
      <c r="L228" s="72">
        <f>VLOOKUP(I228,PAGO2,5,FALSE)</f>
        <v>6129305</v>
      </c>
      <c r="M228" s="72">
        <f>VLOOKUP(I228,PAGO3,5,FALSE)</f>
        <v>9677850</v>
      </c>
      <c r="O228" s="52" t="str">
        <f>VLOOKUP(I228,RANGOPAGOS5,7,FALSE)</f>
        <v>$ 9.677.850</v>
      </c>
      <c r="P228" s="52" t="str">
        <f>VLOOKUP(I228,RANGOPAGOS6,7,FALSE)</f>
        <v>$ 9.677.850,00</v>
      </c>
      <c r="Z228" s="52" t="str">
        <f t="shared" si="1"/>
        <v>#N/A</v>
      </c>
    </row>
    <row r="229">
      <c r="A229" s="52"/>
      <c r="B229" s="52" t="s">
        <v>1092</v>
      </c>
      <c r="C229" s="52" t="s">
        <v>32</v>
      </c>
      <c r="D229" s="52" t="s">
        <v>6122</v>
      </c>
      <c r="E229" s="52"/>
      <c r="F229" s="52">
        <v>45700.0</v>
      </c>
      <c r="G229" s="52"/>
      <c r="H229" s="52" t="s">
        <v>2041</v>
      </c>
      <c r="I229" s="52">
        <v>1.016024615E9</v>
      </c>
      <c r="J229" s="117"/>
      <c r="K229" s="52" t="str">
        <f>VLOOKUP(F229,PAGO1,7,FALSE)</f>
        <v>#N/A</v>
      </c>
      <c r="L229" s="52" t="str">
        <f>VLOOKUP(I229,PAGO2,5,FALSE)</f>
        <v>#N/A</v>
      </c>
      <c r="M229" s="52" t="str">
        <f>VLOOKUP(I229,PAGO3,5,FALSE)</f>
        <v>#N/A</v>
      </c>
      <c r="O229" s="52" t="str">
        <f>VLOOKUP(I229,RANGOPAGOS5,7,FALSE)</f>
        <v>#N/A</v>
      </c>
      <c r="P229" s="52" t="str">
        <f>VLOOKUP(I229,RANGOPAGOS6,7,FALSE)</f>
        <v>#N/A</v>
      </c>
      <c r="Z229" s="52" t="str">
        <f t="shared" si="1"/>
        <v>#N/A</v>
      </c>
    </row>
    <row r="230">
      <c r="A230" s="52" t="s">
        <v>581</v>
      </c>
      <c r="B230" s="52" t="s">
        <v>1096</v>
      </c>
      <c r="C230" s="52" t="s">
        <v>32</v>
      </c>
      <c r="D230" s="52" t="s">
        <v>6123</v>
      </c>
      <c r="E230" s="52" t="s">
        <v>1030</v>
      </c>
      <c r="F230" s="52" t="s">
        <v>999</v>
      </c>
      <c r="G230" s="52" t="s">
        <v>1000</v>
      </c>
      <c r="H230" s="52" t="s">
        <v>1001</v>
      </c>
      <c r="I230" s="52">
        <v>5.2498078E7</v>
      </c>
      <c r="J230" s="117" t="s">
        <v>1627</v>
      </c>
      <c r="K230" s="52" t="str">
        <f>VLOOKUP(F230,PAGO1,7,FALSE)</f>
        <v>#N/A</v>
      </c>
      <c r="L230" s="72">
        <f>VLOOKUP(I230,PAGO2,5,FALSE)</f>
        <v>3850000</v>
      </c>
      <c r="M230" s="72">
        <f>VLOOKUP(I230,PAGO3,5,FALSE)</f>
        <v>5500000</v>
      </c>
      <c r="O230" s="52" t="str">
        <f>VLOOKUP(I230,RANGOPAGOS5,7,FALSE)</f>
        <v>$ 5.500.000</v>
      </c>
      <c r="P230" s="52" t="str">
        <f>VLOOKUP(I230,RANGOPAGOS6,7,FALSE)</f>
        <v>$ 5.500.000,00</v>
      </c>
      <c r="Z230" s="52" t="str">
        <f t="shared" si="1"/>
        <v>#N/A</v>
      </c>
    </row>
    <row r="231">
      <c r="A231" s="52" t="s">
        <v>581</v>
      </c>
      <c r="B231" s="52" t="s">
        <v>1100</v>
      </c>
      <c r="C231" s="52" t="s">
        <v>32</v>
      </c>
      <c r="D231" s="52" t="s">
        <v>6124</v>
      </c>
      <c r="E231" s="52" t="s">
        <v>1030</v>
      </c>
      <c r="F231" s="52" t="s">
        <v>1003</v>
      </c>
      <c r="G231" s="52" t="s">
        <v>1000</v>
      </c>
      <c r="H231" s="52" t="s">
        <v>1004</v>
      </c>
      <c r="I231" s="52">
        <v>1.152204081E9</v>
      </c>
      <c r="J231" s="117" t="s">
        <v>1835</v>
      </c>
      <c r="K231" s="52" t="str">
        <f>VLOOKUP(F231,PAGO1,7,FALSE)</f>
        <v>#N/A</v>
      </c>
      <c r="L231" s="72">
        <f>VLOOKUP(I231,PAGO2,5,FALSE)</f>
        <v>5559540</v>
      </c>
      <c r="M231" s="72">
        <f>VLOOKUP(I231,PAGO3,5,FALSE)</f>
        <v>7942200</v>
      </c>
      <c r="O231" s="52" t="str">
        <f>VLOOKUP(I231,RANGOPAGOS5,7,FALSE)</f>
        <v>$ 7.942.200</v>
      </c>
      <c r="P231" s="52" t="str">
        <f>VLOOKUP(I231,RANGOPAGOS6,7,FALSE)</f>
        <v>$ 7.942.200,00</v>
      </c>
      <c r="Z231" s="52" t="str">
        <f t="shared" si="1"/>
        <v>#N/A</v>
      </c>
    </row>
    <row r="232">
      <c r="A232" s="52" t="s">
        <v>581</v>
      </c>
      <c r="B232" s="52" t="s">
        <v>1104</v>
      </c>
      <c r="C232" s="52" t="s">
        <v>32</v>
      </c>
      <c r="D232" s="52" t="s">
        <v>6125</v>
      </c>
      <c r="E232" s="52" t="s">
        <v>1030</v>
      </c>
      <c r="F232" s="52" t="s">
        <v>1006</v>
      </c>
      <c r="G232" s="52" t="s">
        <v>1007</v>
      </c>
      <c r="H232" s="52" t="s">
        <v>1008</v>
      </c>
      <c r="I232" s="52">
        <v>1.032445678E9</v>
      </c>
      <c r="J232" s="117" t="s">
        <v>1836</v>
      </c>
      <c r="K232" s="52" t="str">
        <f>VLOOKUP(F232,PAGO1,7,FALSE)</f>
        <v>#N/A</v>
      </c>
      <c r="L232" s="72">
        <f>VLOOKUP(I232,PAGO2,5,FALSE)</f>
        <v>3735900</v>
      </c>
      <c r="M232" s="72">
        <f>VLOOKUP(I232,PAGO3,5,FALSE)</f>
        <v>6226500</v>
      </c>
      <c r="O232" s="52" t="str">
        <f>VLOOKUP(I232,RANGOPAGOS5,7,FALSE)</f>
        <v>$ 6.226.500</v>
      </c>
      <c r="P232" s="52" t="str">
        <f>VLOOKUP(I232,RANGOPAGOS6,7,FALSE)</f>
        <v>$ 6.226.500,00</v>
      </c>
      <c r="Z232" s="52" t="str">
        <f t="shared" si="1"/>
        <v>#N/A</v>
      </c>
    </row>
    <row r="233">
      <c r="A233" s="52" t="s">
        <v>581</v>
      </c>
      <c r="B233" s="52" t="s">
        <v>1109</v>
      </c>
      <c r="C233" s="52" t="s">
        <v>32</v>
      </c>
      <c r="D233" s="52" t="s">
        <v>6126</v>
      </c>
      <c r="E233" s="52" t="s">
        <v>1030</v>
      </c>
      <c r="F233" s="52" t="s">
        <v>1010</v>
      </c>
      <c r="G233" s="52" t="s">
        <v>1011</v>
      </c>
      <c r="H233" s="52" t="s">
        <v>1012</v>
      </c>
      <c r="I233" s="52">
        <v>1.01023574E9</v>
      </c>
      <c r="J233" s="117" t="s">
        <v>1837</v>
      </c>
      <c r="K233" s="52" t="str">
        <f>VLOOKUP(F233,PAGO1,7,FALSE)</f>
        <v>#N/A</v>
      </c>
      <c r="L233" s="72">
        <f>VLOOKUP(I233,PAGO2,5,FALSE)</f>
        <v>1980000</v>
      </c>
      <c r="M233" s="72">
        <f>VLOOKUP(I233,PAGO3,5,FALSE)</f>
        <v>3300000</v>
      </c>
      <c r="O233" s="52" t="str">
        <f>VLOOKUP(I233,RANGOPAGOS5,7,FALSE)</f>
        <v>$ 3.300.000</v>
      </c>
      <c r="P233" s="52" t="str">
        <f>VLOOKUP(I233,RANGOPAGOS6,7,FALSE)</f>
        <v>$ 3.300.000,00</v>
      </c>
      <c r="Z233" s="52" t="str">
        <f t="shared" si="1"/>
        <v>#N/A</v>
      </c>
    </row>
    <row r="234">
      <c r="A234" s="52" t="s">
        <v>581</v>
      </c>
      <c r="B234" s="52" t="s">
        <v>1114</v>
      </c>
      <c r="C234" s="52" t="s">
        <v>32</v>
      </c>
      <c r="D234" s="52" t="s">
        <v>6127</v>
      </c>
      <c r="E234" s="52" t="s">
        <v>1030</v>
      </c>
      <c r="F234" s="52" t="s">
        <v>1014</v>
      </c>
      <c r="G234" s="52" t="s">
        <v>1015</v>
      </c>
      <c r="H234" s="52" t="s">
        <v>1016</v>
      </c>
      <c r="I234" s="52">
        <v>1.03242089E9</v>
      </c>
      <c r="J234" s="117" t="s">
        <v>1839</v>
      </c>
      <c r="K234" s="52" t="str">
        <f>VLOOKUP(F234,PAGO1,7,FALSE)</f>
        <v>#N/A</v>
      </c>
      <c r="L234" s="72">
        <f>VLOOKUP(I234,PAGO2,5,FALSE)</f>
        <v>5478333</v>
      </c>
      <c r="M234" s="72">
        <f>VLOOKUP(I234,PAGO3,5,FALSE)</f>
        <v>8650000</v>
      </c>
      <c r="O234" s="52" t="str">
        <f>VLOOKUP(I234,RANGOPAGOS5,7,FALSE)</f>
        <v>$ 8.650.000</v>
      </c>
      <c r="P234" s="52" t="str">
        <f>VLOOKUP(I234,RANGOPAGOS6,7,FALSE)</f>
        <v>$ 8.650.000,00</v>
      </c>
      <c r="Z234" s="52" t="str">
        <f t="shared" si="1"/>
        <v>#N/A</v>
      </c>
    </row>
    <row r="235">
      <c r="A235" s="52"/>
      <c r="B235" s="52" t="s">
        <v>1118</v>
      </c>
      <c r="C235" s="52" t="s">
        <v>32</v>
      </c>
      <c r="D235" s="52" t="s">
        <v>6128</v>
      </c>
      <c r="E235" s="52"/>
      <c r="F235" s="52">
        <v>44969.0</v>
      </c>
      <c r="G235" s="52"/>
      <c r="H235" s="52" t="s">
        <v>2041</v>
      </c>
      <c r="I235" s="52">
        <v>1.3923899E7</v>
      </c>
      <c r="J235" s="117"/>
      <c r="K235" s="52" t="str">
        <f>VLOOKUP(F235,PAGO1,7,FALSE)</f>
        <v>#N/A</v>
      </c>
      <c r="L235" s="52" t="str">
        <f>VLOOKUP(I235,PAGO2,5,FALSE)</f>
        <v>#N/A</v>
      </c>
      <c r="M235" s="52" t="str">
        <f>VLOOKUP(I235,PAGO3,5,FALSE)</f>
        <v>#N/A</v>
      </c>
      <c r="O235" s="52" t="str">
        <f>VLOOKUP(I235,RANGOPAGOS5,7,FALSE)</f>
        <v>#N/A</v>
      </c>
      <c r="P235" s="52" t="str">
        <f>VLOOKUP(I235,RANGOPAGOS6,7,FALSE)</f>
        <v>#N/A</v>
      </c>
      <c r="Z235" s="52" t="str">
        <f t="shared" si="1"/>
        <v>#N/A</v>
      </c>
    </row>
    <row r="236">
      <c r="A236" s="52" t="s">
        <v>581</v>
      </c>
      <c r="B236" s="52"/>
      <c r="C236" s="52" t="s">
        <v>32</v>
      </c>
      <c r="D236" s="52" t="s">
        <v>6129</v>
      </c>
      <c r="E236" s="52" t="s">
        <v>1030</v>
      </c>
      <c r="F236" s="52" t="s">
        <v>1018</v>
      </c>
      <c r="G236" s="52" t="s">
        <v>1019</v>
      </c>
      <c r="H236" s="52" t="s">
        <v>1020</v>
      </c>
      <c r="I236" s="52">
        <v>1.018481914E9</v>
      </c>
      <c r="J236" s="117" t="s">
        <v>3370</v>
      </c>
      <c r="K236" s="52" t="str">
        <f>VLOOKUP(F236,PAGO1,7,FALSE)</f>
        <v>#N/A</v>
      </c>
      <c r="L236" s="72">
        <f>VLOOKUP(I236,PAGO2,5,FALSE)</f>
        <v>3831100</v>
      </c>
      <c r="M236" s="72">
        <f>VLOOKUP(I236,PAGO3,5,FALSE)</f>
        <v>5746650</v>
      </c>
      <c r="O236" s="52" t="str">
        <f>VLOOKUP(I236,RANGOPAGOS5,7,FALSE)</f>
        <v>#N/A</v>
      </c>
      <c r="P236" s="52" t="str">
        <f>VLOOKUP(I236,RANGOPAGOS6,7,FALSE)</f>
        <v>#N/A</v>
      </c>
      <c r="Z236" s="52" t="str">
        <f t="shared" si="1"/>
        <v>#N/A</v>
      </c>
    </row>
    <row r="237">
      <c r="A237" s="52"/>
      <c r="B237" s="52" t="s">
        <v>1125</v>
      </c>
      <c r="C237" s="52" t="s">
        <v>32</v>
      </c>
      <c r="D237" s="52" t="s">
        <v>6130</v>
      </c>
      <c r="E237" s="52"/>
      <c r="F237" s="52">
        <v>45699.0</v>
      </c>
      <c r="G237" s="52"/>
      <c r="H237" s="52" t="s">
        <v>72</v>
      </c>
      <c r="I237" s="52">
        <v>7.9693844E7</v>
      </c>
      <c r="J237" s="117"/>
      <c r="K237" s="52" t="str">
        <f>VLOOKUP(F237,PAGO1,7,FALSE)</f>
        <v>#N/A</v>
      </c>
      <c r="L237" s="52" t="str">
        <f>VLOOKUP(I237,PAGO2,5,FALSE)</f>
        <v>#N/A</v>
      </c>
      <c r="M237" s="52" t="str">
        <f>VLOOKUP(I237,PAGO3,5,FALSE)</f>
        <v>#N/A</v>
      </c>
      <c r="O237" s="52" t="str">
        <f>VLOOKUP(I237,RANGOPAGOS5,7,FALSE)</f>
        <v>#N/A</v>
      </c>
      <c r="P237" s="52" t="str">
        <f>VLOOKUP(I237,RANGOPAGOS6,7,FALSE)</f>
        <v>#N/A</v>
      </c>
      <c r="Z237" s="52" t="str">
        <f t="shared" si="1"/>
        <v>#N/A</v>
      </c>
    </row>
    <row r="238">
      <c r="A238" s="52" t="s">
        <v>581</v>
      </c>
      <c r="B238" s="52" t="s">
        <v>1129</v>
      </c>
      <c r="C238" s="52" t="s">
        <v>32</v>
      </c>
      <c r="D238" s="52" t="s">
        <v>6131</v>
      </c>
      <c r="E238" s="52" t="s">
        <v>1030</v>
      </c>
      <c r="F238" s="52" t="s">
        <v>1022</v>
      </c>
      <c r="G238" s="52" t="s">
        <v>1023</v>
      </c>
      <c r="H238" s="52" t="s">
        <v>1840</v>
      </c>
      <c r="I238" s="52">
        <v>5.2151456E7</v>
      </c>
      <c r="J238" s="117" t="s">
        <v>1843</v>
      </c>
      <c r="K238" s="52" t="str">
        <f>VLOOKUP(F238,PAGO1,7,FALSE)</f>
        <v>#N/A</v>
      </c>
      <c r="L238" s="72">
        <f>VLOOKUP(I238,PAGO2,5,FALSE)</f>
        <v>4370000</v>
      </c>
      <c r="M238" s="72">
        <f>VLOOKUP(I238,PAGO3,5,FALSE)</f>
        <v>6900000</v>
      </c>
      <c r="O238" s="52" t="str">
        <f>VLOOKUP(I238,RANGOPAGOS5,7,FALSE)</f>
        <v>$ 6.900.000</v>
      </c>
      <c r="P238" s="52" t="str">
        <f>VLOOKUP(I238,RANGOPAGOS6,7,FALSE)</f>
        <v>$ 7.845.675,00</v>
      </c>
      <c r="Z238" s="52" t="str">
        <f t="shared" si="1"/>
        <v>#N/A</v>
      </c>
    </row>
    <row r="239">
      <c r="A239" s="52" t="s">
        <v>581</v>
      </c>
      <c r="B239" s="52" t="s">
        <v>1134</v>
      </c>
      <c r="C239" s="52" t="s">
        <v>32</v>
      </c>
      <c r="D239" s="52" t="s">
        <v>6132</v>
      </c>
      <c r="E239" s="52" t="s">
        <v>1030</v>
      </c>
      <c r="F239" s="52" t="s">
        <v>1026</v>
      </c>
      <c r="G239" s="52" t="s">
        <v>1027</v>
      </c>
      <c r="H239" s="52" t="s">
        <v>1028</v>
      </c>
      <c r="I239" s="52">
        <v>5.2515178E7</v>
      </c>
      <c r="J239" s="117" t="s">
        <v>1845</v>
      </c>
      <c r="K239" s="52" t="str">
        <f>VLOOKUP(F239,PAGO1,7,FALSE)</f>
        <v>#N/A</v>
      </c>
      <c r="L239" s="72">
        <f>VLOOKUP(I239,PAGO2,5,FALSE)</f>
        <v>6129305</v>
      </c>
      <c r="M239" s="72">
        <f>VLOOKUP(I239,PAGO3,5,FALSE)</f>
        <v>9677850</v>
      </c>
      <c r="O239" s="52" t="str">
        <f>VLOOKUP(I239,RANGOPAGOS5,7,FALSE)</f>
        <v>$ 9.677.850</v>
      </c>
      <c r="P239" s="52" t="str">
        <f>VLOOKUP(I239,RANGOPAGOS6,7,FALSE)</f>
        <v>$ 9.677.850,00</v>
      </c>
      <c r="Z239" s="52" t="str">
        <f t="shared" si="1"/>
        <v>#N/A</v>
      </c>
    </row>
    <row r="240">
      <c r="A240" s="52"/>
      <c r="B240" s="52" t="s">
        <v>1139</v>
      </c>
      <c r="C240" s="52" t="s">
        <v>32</v>
      </c>
      <c r="D240" s="52" t="s">
        <v>6133</v>
      </c>
      <c r="E240" s="52"/>
      <c r="F240" s="52">
        <v>44969.0</v>
      </c>
      <c r="G240" s="52"/>
      <c r="H240" s="52" t="s">
        <v>2041</v>
      </c>
      <c r="I240" s="52">
        <v>5.298137E7</v>
      </c>
      <c r="J240" s="117"/>
      <c r="K240" s="52" t="str">
        <f>VLOOKUP(F240,PAGO1,7,FALSE)</f>
        <v>#N/A</v>
      </c>
      <c r="L240" s="52" t="str">
        <f>VLOOKUP(I240,PAGO2,5,FALSE)</f>
        <v>#N/A</v>
      </c>
      <c r="M240" s="52" t="str">
        <f>VLOOKUP(I240,PAGO3,5,FALSE)</f>
        <v>#N/A</v>
      </c>
      <c r="O240" s="52" t="str">
        <f>VLOOKUP(I240,RANGOPAGOS5,7,FALSE)</f>
        <v>#N/A</v>
      </c>
      <c r="P240" s="52" t="str">
        <f>VLOOKUP(I240,RANGOPAGOS6,7,FALSE)</f>
        <v>#N/A</v>
      </c>
      <c r="Z240" s="52" t="str">
        <f t="shared" si="1"/>
        <v>#N/A</v>
      </c>
    </row>
    <row r="241">
      <c r="A241" s="52" t="s">
        <v>581</v>
      </c>
      <c r="B241" s="52" t="s">
        <v>1143</v>
      </c>
      <c r="C241" s="52" t="s">
        <v>32</v>
      </c>
      <c r="D241" s="52" t="s">
        <v>6134</v>
      </c>
      <c r="E241" s="52" t="s">
        <v>1030</v>
      </c>
      <c r="F241" s="52" t="s">
        <v>1031</v>
      </c>
      <c r="G241" s="52" t="s">
        <v>1032</v>
      </c>
      <c r="H241" s="52" t="s">
        <v>1033</v>
      </c>
      <c r="I241" s="52" t="s">
        <v>3384</v>
      </c>
      <c r="J241" s="117" t="s">
        <v>1846</v>
      </c>
      <c r="K241" s="52" t="str">
        <f>VLOOKUP(F241,PAGO1,7,FALSE)</f>
        <v>#N/A</v>
      </c>
      <c r="L241" s="52" t="str">
        <f>VLOOKUP(I241,PAGO2,5,FALSE)</f>
        <v>#N/A</v>
      </c>
      <c r="M241" s="52" t="str">
        <f>VLOOKUP(I241,PAGO3,5,FALSE)</f>
        <v>#N/A</v>
      </c>
      <c r="O241" s="52" t="str">
        <f>VLOOKUP(I241,RANGOPAGOS5,7,FALSE)</f>
        <v>#N/A</v>
      </c>
      <c r="P241" s="52" t="str">
        <f>VLOOKUP(I241,RANGOPAGOS6,7,FALSE)</f>
        <v>#N/A</v>
      </c>
      <c r="Z241" s="52" t="str">
        <f t="shared" si="1"/>
        <v>#N/A</v>
      </c>
    </row>
    <row r="242">
      <c r="A242" s="52" t="s">
        <v>581</v>
      </c>
      <c r="B242" s="52" t="s">
        <v>1147</v>
      </c>
      <c r="C242" s="52" t="s">
        <v>32</v>
      </c>
      <c r="D242" s="52" t="s">
        <v>6135</v>
      </c>
      <c r="E242" s="52" t="s">
        <v>781</v>
      </c>
      <c r="F242" s="52" t="s">
        <v>1035</v>
      </c>
      <c r="G242" s="52" t="s">
        <v>1036</v>
      </c>
      <c r="H242" s="52" t="s">
        <v>1037</v>
      </c>
      <c r="I242" s="52">
        <v>1.013597889E9</v>
      </c>
      <c r="J242" s="117" t="s">
        <v>1848</v>
      </c>
      <c r="K242" s="52" t="str">
        <f>VLOOKUP(F242,PAGO1,7,FALSE)</f>
        <v>#N/A</v>
      </c>
      <c r="L242" s="72">
        <f>VLOOKUP(I242,PAGO2,5,FALSE)</f>
        <v>2700000</v>
      </c>
      <c r="M242" s="72">
        <f>VLOOKUP(I242,PAGO3,5,FALSE)</f>
        <v>4500000</v>
      </c>
      <c r="O242" s="52" t="str">
        <f>VLOOKUP(I242,RANGOPAGOS5,7,FALSE)</f>
        <v>$ 4.500.000</v>
      </c>
      <c r="P242" s="52" t="str">
        <f>VLOOKUP(I242,RANGOPAGOS6,7,FALSE)</f>
        <v>$ 4.500.000,00</v>
      </c>
      <c r="Z242" s="52" t="str">
        <f t="shared" si="1"/>
        <v>#N/A</v>
      </c>
    </row>
    <row r="243">
      <c r="A243" s="52" t="s">
        <v>581</v>
      </c>
      <c r="B243" s="52" t="s">
        <v>1151</v>
      </c>
      <c r="C243" s="52" t="s">
        <v>32</v>
      </c>
      <c r="D243" s="52" t="s">
        <v>6136</v>
      </c>
      <c r="E243" s="52" t="s">
        <v>1030</v>
      </c>
      <c r="F243" s="52" t="s">
        <v>1039</v>
      </c>
      <c r="G243" s="52" t="s">
        <v>841</v>
      </c>
      <c r="H243" s="52" t="s">
        <v>1040</v>
      </c>
      <c r="I243" s="52">
        <v>1.007387735E9</v>
      </c>
      <c r="J243" s="117" t="s">
        <v>1850</v>
      </c>
      <c r="K243" s="52" t="str">
        <f>VLOOKUP(F243,PAGO1,7,FALSE)</f>
        <v>#N/A</v>
      </c>
      <c r="L243" s="72">
        <f>VLOOKUP(I243,PAGO2,5,FALSE)</f>
        <v>1971270</v>
      </c>
      <c r="M243" s="72">
        <f>VLOOKUP(I243,PAGO3,5,FALSE)</f>
        <v>3285450</v>
      </c>
      <c r="O243" s="52" t="str">
        <f>VLOOKUP(I243,RANGOPAGOS5,7,FALSE)</f>
        <v>$ 3.285.450</v>
      </c>
      <c r="P243" s="52" t="str">
        <f>VLOOKUP(I243,RANGOPAGOS6,7,FALSE)</f>
        <v>$ 3.285.450,00</v>
      </c>
      <c r="Z243" s="52" t="str">
        <f t="shared" si="1"/>
        <v>#N/A</v>
      </c>
    </row>
    <row r="244">
      <c r="A244" s="52" t="s">
        <v>581</v>
      </c>
      <c r="B244" s="52" t="s">
        <v>1155</v>
      </c>
      <c r="C244" s="52" t="s">
        <v>32</v>
      </c>
      <c r="D244" s="52" t="s">
        <v>6137</v>
      </c>
      <c r="E244" s="52" t="s">
        <v>1030</v>
      </c>
      <c r="F244" s="52" t="s">
        <v>1042</v>
      </c>
      <c r="G244" s="52" t="s">
        <v>1043</v>
      </c>
      <c r="H244" s="52" t="s">
        <v>1044</v>
      </c>
      <c r="I244" s="52">
        <v>5.2802056E7</v>
      </c>
      <c r="J244" s="117" t="s">
        <v>1853</v>
      </c>
      <c r="K244" s="52" t="str">
        <f>VLOOKUP(F244,PAGO1,7,FALSE)</f>
        <v>#N/A</v>
      </c>
      <c r="L244" s="72">
        <f>VLOOKUP(I244,PAGO2,5,FALSE)</f>
        <v>4419600</v>
      </c>
      <c r="M244" s="72">
        <f>VLOOKUP(I244,PAGO3,5,FALSE)</f>
        <v>7901675</v>
      </c>
      <c r="O244" s="52" t="str">
        <f>VLOOKUP(I244,RANGOPAGOS5,7,FALSE)</f>
        <v>$ 7.366.000</v>
      </c>
      <c r="P244" s="52" t="str">
        <f>VLOOKUP(I244,RANGOPAGOS6,7,FALSE)</f>
        <v>$ 7.986.675,00</v>
      </c>
      <c r="Z244" s="52" t="str">
        <f t="shared" si="1"/>
        <v>#N/A</v>
      </c>
    </row>
    <row r="245">
      <c r="A245" s="52" t="s">
        <v>581</v>
      </c>
      <c r="B245" s="52" t="s">
        <v>1159</v>
      </c>
      <c r="C245" s="52" t="s">
        <v>32</v>
      </c>
      <c r="D245" s="52" t="s">
        <v>6138</v>
      </c>
      <c r="E245" s="52" t="s">
        <v>1030</v>
      </c>
      <c r="F245" s="52" t="s">
        <v>1046</v>
      </c>
      <c r="G245" s="52" t="s">
        <v>1047</v>
      </c>
      <c r="H245" s="52" t="s">
        <v>1048</v>
      </c>
      <c r="I245" s="52">
        <v>1.070969778E9</v>
      </c>
      <c r="J245" s="117" t="s">
        <v>1855</v>
      </c>
      <c r="K245" s="52" t="str">
        <f>VLOOKUP(F245,PAGO1,7,FALSE)</f>
        <v>#N/A</v>
      </c>
      <c r="L245" s="72">
        <f>VLOOKUP(I245,PAGO2,5,FALSE)</f>
        <v>3600000</v>
      </c>
      <c r="M245" s="72">
        <f>VLOOKUP(I245,PAGO3,5,FALSE)</f>
        <v>6000000</v>
      </c>
      <c r="O245" s="52" t="str">
        <f>VLOOKUP(I245,RANGOPAGOS5,7,FALSE)</f>
        <v>$ 6.000.000</v>
      </c>
      <c r="P245" s="52" t="str">
        <f>VLOOKUP(I245,RANGOPAGOS6,7,FALSE)</f>
        <v>$ 6.000.000,00</v>
      </c>
      <c r="Z245" s="52" t="str">
        <f t="shared" si="1"/>
        <v>#N/A</v>
      </c>
    </row>
    <row r="246">
      <c r="A246" s="52" t="s">
        <v>581</v>
      </c>
      <c r="B246" s="52" t="s">
        <v>1163</v>
      </c>
      <c r="C246" s="52" t="s">
        <v>32</v>
      </c>
      <c r="D246" s="52" t="s">
        <v>6139</v>
      </c>
      <c r="E246" s="52" t="s">
        <v>1030</v>
      </c>
      <c r="F246" s="52" t="s">
        <v>1050</v>
      </c>
      <c r="G246" s="52" t="s">
        <v>1051</v>
      </c>
      <c r="H246" s="52" t="s">
        <v>1052</v>
      </c>
      <c r="I246" s="52">
        <v>1.033711205E9</v>
      </c>
      <c r="J246" s="117" t="s">
        <v>3417</v>
      </c>
      <c r="K246" s="52" t="str">
        <f>VLOOKUP(F246,PAGO1,7,FALSE)</f>
        <v>#N/A</v>
      </c>
      <c r="L246" s="72">
        <f>VLOOKUP(I246,PAGO2,5,FALSE)</f>
        <v>3600000</v>
      </c>
      <c r="M246" s="72">
        <f>VLOOKUP(I246,PAGO3,5,FALSE)</f>
        <v>6000000</v>
      </c>
      <c r="O246" s="52" t="str">
        <f>VLOOKUP(I246,RANGOPAGOS5,7,FALSE)</f>
        <v>#N/A</v>
      </c>
      <c r="P246" s="52" t="str">
        <f>VLOOKUP(I246,RANGOPAGOS6,7,FALSE)</f>
        <v>#N/A</v>
      </c>
      <c r="Z246" s="52" t="str">
        <f t="shared" si="1"/>
        <v>#N/A</v>
      </c>
    </row>
    <row r="247">
      <c r="A247" s="52" t="s">
        <v>581</v>
      </c>
      <c r="B247" s="52" t="s">
        <v>1169</v>
      </c>
      <c r="C247" s="52" t="s">
        <v>32</v>
      </c>
      <c r="D247" s="52" t="s">
        <v>6140</v>
      </c>
      <c r="E247" s="52" t="s">
        <v>1030</v>
      </c>
      <c r="F247" s="52" t="s">
        <v>1054</v>
      </c>
      <c r="G247" s="52" t="s">
        <v>1055</v>
      </c>
      <c r="H247" s="52" t="s">
        <v>1056</v>
      </c>
      <c r="I247" s="52">
        <v>1.010233207E9</v>
      </c>
      <c r="J247" s="117" t="s">
        <v>1856</v>
      </c>
      <c r="K247" s="52" t="str">
        <f>VLOOKUP(F247,PAGO1,7,FALSE)</f>
        <v>#N/A</v>
      </c>
      <c r="L247" s="72">
        <f>VLOOKUP(I247,PAGO2,5,FALSE)</f>
        <v>3116667</v>
      </c>
      <c r="M247" s="72">
        <f>VLOOKUP(I247,PAGO3,5,FALSE)</f>
        <v>5500000</v>
      </c>
      <c r="O247" s="52" t="str">
        <f>VLOOKUP(I247,RANGOPAGOS5,7,FALSE)</f>
        <v>$ 5.500.000</v>
      </c>
      <c r="P247" s="52" t="str">
        <f>VLOOKUP(I247,RANGOPAGOS6,7,FALSE)</f>
        <v>$ 5.500.000,00</v>
      </c>
      <c r="Z247" s="52" t="str">
        <f t="shared" si="1"/>
        <v>#N/A</v>
      </c>
    </row>
    <row r="248">
      <c r="A248" s="52" t="s">
        <v>581</v>
      </c>
      <c r="B248" s="52" t="s">
        <v>1173</v>
      </c>
      <c r="C248" s="52" t="s">
        <v>32</v>
      </c>
      <c r="D248" s="52" t="s">
        <v>6141</v>
      </c>
      <c r="E248" s="52" t="s">
        <v>1030</v>
      </c>
      <c r="F248" s="52" t="s">
        <v>1058</v>
      </c>
      <c r="G248" s="52" t="s">
        <v>1059</v>
      </c>
      <c r="H248" s="52" t="s">
        <v>1060</v>
      </c>
      <c r="I248" s="52">
        <v>1.128431532E9</v>
      </c>
      <c r="J248" s="117" t="s">
        <v>1858</v>
      </c>
      <c r="K248" s="52" t="str">
        <f>VLOOKUP(F248,PAGO1,7,FALSE)</f>
        <v>#N/A</v>
      </c>
      <c r="L248" s="72">
        <f>VLOOKUP(I248,PAGO2,5,FALSE)</f>
        <v>3500000</v>
      </c>
      <c r="M248" s="72">
        <f>VLOOKUP(I248,PAGO3,5,FALSE)</f>
        <v>7500000</v>
      </c>
      <c r="O248" s="52" t="str">
        <f>VLOOKUP(I248,RANGOPAGOS5,7,FALSE)</f>
        <v>$ 7.500.000</v>
      </c>
      <c r="P248" s="52" t="str">
        <f>VLOOKUP(I248,RANGOPAGOS6,7,FALSE)</f>
        <v>$ 8.890.148,00</v>
      </c>
      <c r="Z248" s="52" t="str">
        <f t="shared" si="1"/>
        <v>#N/A</v>
      </c>
    </row>
    <row r="249">
      <c r="A249" s="52" t="s">
        <v>581</v>
      </c>
      <c r="B249" s="52" t="s">
        <v>1177</v>
      </c>
      <c r="C249" s="52" t="s">
        <v>32</v>
      </c>
      <c r="D249" s="52" t="s">
        <v>6142</v>
      </c>
      <c r="E249" s="52" t="s">
        <v>1030</v>
      </c>
      <c r="F249" s="52" t="s">
        <v>1062</v>
      </c>
      <c r="G249" s="52" t="s">
        <v>1063</v>
      </c>
      <c r="H249" s="52" t="s">
        <v>1064</v>
      </c>
      <c r="I249" s="52">
        <v>1.032484145E9</v>
      </c>
      <c r="J249" s="117" t="s">
        <v>1859</v>
      </c>
      <c r="K249" s="52" t="str">
        <f>VLOOKUP(F249,PAGO1,7,FALSE)</f>
        <v>#N/A</v>
      </c>
      <c r="L249" s="72">
        <f>VLOOKUP(I249,PAGO2,5,FALSE)</f>
        <v>3683333</v>
      </c>
      <c r="M249" s="72">
        <f>VLOOKUP(I249,PAGO3,5,FALSE)</f>
        <v>6500000</v>
      </c>
      <c r="O249" s="52" t="str">
        <f>VLOOKUP(I249,RANGOPAGOS5,7,FALSE)</f>
        <v>$ 6.500.000</v>
      </c>
      <c r="P249" s="52" t="str">
        <f>VLOOKUP(I249,RANGOPAGOS6,7,FALSE)</f>
        <v>$ 6.500.000,00</v>
      </c>
      <c r="Z249" s="52" t="str">
        <f t="shared" si="1"/>
        <v>#N/A</v>
      </c>
    </row>
    <row r="250">
      <c r="A250" s="52" t="s">
        <v>581</v>
      </c>
      <c r="B250" s="52" t="s">
        <v>1181</v>
      </c>
      <c r="C250" s="52" t="s">
        <v>32</v>
      </c>
      <c r="D250" s="52" t="s">
        <v>6143</v>
      </c>
      <c r="E250" s="52" t="s">
        <v>1030</v>
      </c>
      <c r="F250" s="52" t="s">
        <v>1066</v>
      </c>
      <c r="G250" s="52" t="s">
        <v>1015</v>
      </c>
      <c r="H250" s="52" t="s">
        <v>1067</v>
      </c>
      <c r="I250" s="52">
        <v>1.113638043E9</v>
      </c>
      <c r="J250" s="117" t="s">
        <v>1861</v>
      </c>
      <c r="K250" s="52" t="str">
        <f>VLOOKUP(F250,PAGO1,7,FALSE)</f>
        <v>#N/A</v>
      </c>
      <c r="L250" s="72">
        <f>VLOOKUP(I250,PAGO2,5,FALSE)</f>
        <v>4901667</v>
      </c>
      <c r="M250" s="72">
        <f>VLOOKUP(I250,PAGO3,5,FALSE)</f>
        <v>8650000</v>
      </c>
      <c r="O250" s="52" t="str">
        <f>VLOOKUP(I250,RANGOPAGOS5,7,FALSE)</f>
        <v>$ 8.650.000</v>
      </c>
      <c r="P250" s="52" t="str">
        <f>VLOOKUP(I250,RANGOPAGOS6,7,FALSE)</f>
        <v>$ 8.650.000,00</v>
      </c>
      <c r="Z250" s="52" t="str">
        <f t="shared" si="1"/>
        <v>#N/A</v>
      </c>
    </row>
    <row r="251">
      <c r="A251" s="52" t="s">
        <v>581</v>
      </c>
      <c r="B251" s="52" t="s">
        <v>1185</v>
      </c>
      <c r="C251" s="52" t="s">
        <v>32</v>
      </c>
      <c r="D251" s="52" t="s">
        <v>6144</v>
      </c>
      <c r="E251" s="52" t="s">
        <v>1030</v>
      </c>
      <c r="F251" s="52" t="s">
        <v>1069</v>
      </c>
      <c r="G251" s="52" t="s">
        <v>1070</v>
      </c>
      <c r="H251" s="52" t="s">
        <v>1071</v>
      </c>
      <c r="I251" s="52">
        <v>1.088340956E9</v>
      </c>
      <c r="J251" s="117" t="s">
        <v>1862</v>
      </c>
      <c r="K251" s="52" t="str">
        <f>VLOOKUP(F251,PAGO1,7,FALSE)</f>
        <v>#N/A</v>
      </c>
      <c r="L251" s="72">
        <f>VLOOKUP(I251,PAGO2,5,FALSE)</f>
        <v>2731050</v>
      </c>
      <c r="M251" s="72">
        <f>VLOOKUP(I251,PAGO3,5,FALSE)</f>
        <v>4819500</v>
      </c>
      <c r="O251" s="52" t="str">
        <f>VLOOKUP(I251,RANGOPAGOS5,7,FALSE)</f>
        <v>$ 4.819.500</v>
      </c>
      <c r="P251" s="52" t="str">
        <f>VLOOKUP(I251,RANGOPAGOS6,7,FALSE)</f>
        <v>$ 4.819.500,00</v>
      </c>
      <c r="Z251" s="52" t="str">
        <f t="shared" si="1"/>
        <v>#N/A</v>
      </c>
    </row>
    <row r="252">
      <c r="A252" s="52" t="s">
        <v>581</v>
      </c>
      <c r="B252" s="52" t="s">
        <v>1190</v>
      </c>
      <c r="C252" s="52" t="s">
        <v>32</v>
      </c>
      <c r="D252" s="52" t="s">
        <v>6145</v>
      </c>
      <c r="E252" s="52" t="s">
        <v>1030</v>
      </c>
      <c r="F252" s="52" t="s">
        <v>1073</v>
      </c>
      <c r="G252" s="52" t="s">
        <v>1074</v>
      </c>
      <c r="H252" s="52" t="s">
        <v>1075</v>
      </c>
      <c r="I252" s="52">
        <v>5.2958449E7</v>
      </c>
      <c r="J252" s="117" t="s">
        <v>1864</v>
      </c>
      <c r="K252" s="52" t="str">
        <f>VLOOKUP(F252,PAGO1,7,FALSE)</f>
        <v>#N/A</v>
      </c>
      <c r="L252" s="72">
        <f>VLOOKUP(I252,PAGO2,5,FALSE)</f>
        <v>5098555</v>
      </c>
      <c r="M252" s="72">
        <f>VLOOKUP(I252,PAGO3,5,FALSE)</f>
        <v>8997450</v>
      </c>
      <c r="O252" s="52" t="str">
        <f>VLOOKUP(I252,RANGOPAGOS5,7,FALSE)</f>
        <v>$ 8.997.450</v>
      </c>
      <c r="P252" s="52" t="str">
        <f>VLOOKUP(I252,RANGOPAGOS6,7,FALSE)</f>
        <v>$ 8.997.450,00</v>
      </c>
      <c r="Z252" s="52" t="str">
        <f t="shared" si="1"/>
        <v>#N/A</v>
      </c>
    </row>
    <row r="253">
      <c r="A253" s="52" t="s">
        <v>581</v>
      </c>
      <c r="B253" s="52" t="s">
        <v>1197</v>
      </c>
      <c r="C253" s="52" t="s">
        <v>32</v>
      </c>
      <c r="D253" s="52" t="s">
        <v>6146</v>
      </c>
      <c r="E253" s="52" t="s">
        <v>1030</v>
      </c>
      <c r="F253" s="52" t="s">
        <v>1077</v>
      </c>
      <c r="G253" s="52" t="s">
        <v>1078</v>
      </c>
      <c r="H253" s="52" t="s">
        <v>1079</v>
      </c>
      <c r="I253" s="52">
        <v>1.049646618E9</v>
      </c>
      <c r="J253" s="117" t="s">
        <v>1707</v>
      </c>
      <c r="K253" s="52" t="str">
        <f>VLOOKUP(F253,PAGO1,7,FALSE)</f>
        <v>#N/A</v>
      </c>
      <c r="L253" s="72">
        <f>VLOOKUP(I253,PAGO2,5,FALSE)</f>
        <v>2916667</v>
      </c>
      <c r="M253" s="72">
        <f>VLOOKUP(I253,PAGO3,5,FALSE)</f>
        <v>6250000</v>
      </c>
      <c r="O253" s="52" t="str">
        <f>VLOOKUP(I253,RANGOPAGOS5,7,FALSE)</f>
        <v>$ 6.250.000</v>
      </c>
      <c r="P253" s="52" t="str">
        <f>VLOOKUP(I253,RANGOPAGOS6,7,FALSE)</f>
        <v>$ 6.250.000,00</v>
      </c>
      <c r="Z253" s="52" t="str">
        <f t="shared" si="1"/>
        <v>#N/A</v>
      </c>
    </row>
    <row r="254">
      <c r="A254" s="52" t="s">
        <v>581</v>
      </c>
      <c r="B254" s="52" t="s">
        <v>1203</v>
      </c>
      <c r="C254" s="52" t="s">
        <v>32</v>
      </c>
      <c r="D254" s="52" t="s">
        <v>6147</v>
      </c>
      <c r="E254" s="52" t="s">
        <v>1030</v>
      </c>
      <c r="F254" s="52" t="s">
        <v>1081</v>
      </c>
      <c r="G254" s="52" t="s">
        <v>1082</v>
      </c>
      <c r="H254" s="52" t="s">
        <v>1083</v>
      </c>
      <c r="I254" s="52">
        <v>1.031141613E9</v>
      </c>
      <c r="J254" s="117" t="s">
        <v>1866</v>
      </c>
      <c r="K254" s="52" t="str">
        <f>VLOOKUP(F254,PAGO1,7,FALSE)</f>
        <v>#N/A</v>
      </c>
      <c r="L254" s="72">
        <f>VLOOKUP(I254,PAGO2,5,FALSE)</f>
        <v>2730000</v>
      </c>
      <c r="M254" s="72">
        <f>VLOOKUP(I254,PAGO3,5,FALSE)</f>
        <v>6300000</v>
      </c>
      <c r="O254" s="52" t="str">
        <f>VLOOKUP(I254,RANGOPAGOS5,7,FALSE)</f>
        <v>$ 6.300.000</v>
      </c>
      <c r="P254" s="52" t="str">
        <f>VLOOKUP(I254,RANGOPAGOS6,7,FALSE)</f>
        <v>$ 6.300.000,00</v>
      </c>
      <c r="Z254" s="52" t="str">
        <f t="shared" si="1"/>
        <v>#N/A</v>
      </c>
    </row>
    <row r="255">
      <c r="A255" s="52" t="s">
        <v>581</v>
      </c>
      <c r="B255" s="52" t="s">
        <v>1208</v>
      </c>
      <c r="C255" s="52" t="s">
        <v>32</v>
      </c>
      <c r="D255" s="52" t="s">
        <v>6148</v>
      </c>
      <c r="E255" s="52" t="s">
        <v>1030</v>
      </c>
      <c r="F255" s="52" t="s">
        <v>1085</v>
      </c>
      <c r="G255" s="52" t="s">
        <v>1086</v>
      </c>
      <c r="H255" s="52" t="s">
        <v>1867</v>
      </c>
      <c r="I255" s="52">
        <v>1.01850558E9</v>
      </c>
      <c r="J255" s="117" t="s">
        <v>1868</v>
      </c>
      <c r="K255" s="52" t="str">
        <f>VLOOKUP(F255,PAGO1,7,FALSE)</f>
        <v>#N/A</v>
      </c>
      <c r="L255" s="72">
        <f>VLOOKUP(I255,PAGO2,5,FALSE)</f>
        <v>2057510</v>
      </c>
      <c r="M255" s="72">
        <f>VLOOKUP(I255,PAGO3,5,FALSE)</f>
        <v>3630900</v>
      </c>
      <c r="O255" s="52" t="str">
        <f>VLOOKUP(I255,RANGOPAGOS5,7,FALSE)</f>
        <v>$ 3.630.900</v>
      </c>
      <c r="P255" s="52" t="str">
        <f>VLOOKUP(I255,RANGOPAGOS6,7,FALSE)</f>
        <v>$ 3.630.900,00</v>
      </c>
      <c r="Z255" s="52" t="str">
        <f t="shared" si="1"/>
        <v>#N/A</v>
      </c>
    </row>
    <row r="256">
      <c r="A256" s="52"/>
      <c r="B256" s="52" t="s">
        <v>1212</v>
      </c>
      <c r="C256" s="52" t="s">
        <v>32</v>
      </c>
      <c r="D256" s="52" t="s">
        <v>6149</v>
      </c>
      <c r="E256" s="52"/>
      <c r="F256" s="52" t="s">
        <v>3471</v>
      </c>
      <c r="G256" s="52"/>
      <c r="H256" s="52" t="s">
        <v>3472</v>
      </c>
      <c r="I256" s="52"/>
      <c r="J256" s="117"/>
      <c r="K256" s="52" t="str">
        <f>VLOOKUP(F256,PAGO1,7,FALSE)</f>
        <v>#N/A</v>
      </c>
      <c r="L256" s="52" t="str">
        <f>VLOOKUP(I256,PAGO2,5,FALSE)</f>
        <v>#N/A</v>
      </c>
      <c r="M256" s="52" t="str">
        <f>VLOOKUP(I256,PAGO3,5,FALSE)</f>
        <v>#N/A</v>
      </c>
      <c r="O256" s="52" t="str">
        <f>VLOOKUP(I256,RANGOPAGOS5,7,FALSE)</f>
        <v>#N/A</v>
      </c>
      <c r="P256" s="52" t="str">
        <f>VLOOKUP(I256,RANGOPAGOS6,7,FALSE)</f>
        <v>#N/A</v>
      </c>
      <c r="Z256" s="52" t="str">
        <f t="shared" si="1"/>
        <v>#N/A</v>
      </c>
    </row>
    <row r="257">
      <c r="A257" s="52" t="s">
        <v>581</v>
      </c>
      <c r="B257" s="52" t="s">
        <v>1216</v>
      </c>
      <c r="C257" s="52" t="s">
        <v>32</v>
      </c>
      <c r="D257" s="52" t="s">
        <v>6150</v>
      </c>
      <c r="E257" s="52" t="s">
        <v>1030</v>
      </c>
      <c r="F257" s="52" t="s">
        <v>1089</v>
      </c>
      <c r="G257" s="52" t="s">
        <v>1090</v>
      </c>
      <c r="H257" s="52" t="s">
        <v>1091</v>
      </c>
      <c r="I257" s="52">
        <v>5.3176483E7</v>
      </c>
      <c r="J257" s="117" t="s">
        <v>1807</v>
      </c>
      <c r="K257" s="52" t="str">
        <f>VLOOKUP(F257,PAGO1,7,FALSE)</f>
        <v>#N/A</v>
      </c>
      <c r="L257" s="72">
        <f>VLOOKUP(I257,PAGO2,5,FALSE)</f>
        <v>2333333</v>
      </c>
      <c r="M257" s="72">
        <f>VLOOKUP(I257,PAGO3,5,FALSE)</f>
        <v>7000000</v>
      </c>
      <c r="O257" s="52" t="str">
        <f>VLOOKUP(I257,RANGOPAGOS5,7,FALSE)</f>
        <v>$ 7.000.000</v>
      </c>
      <c r="P257" s="52" t="str">
        <f>VLOOKUP(I257,RANGOPAGOS6,7,FALSE)</f>
        <v>$ 7.000.000,00</v>
      </c>
      <c r="Z257" s="52" t="str">
        <f t="shared" si="1"/>
        <v>#N/A</v>
      </c>
    </row>
    <row r="258">
      <c r="A258" s="52" t="s">
        <v>581</v>
      </c>
      <c r="B258" s="52" t="s">
        <v>1220</v>
      </c>
      <c r="C258" s="52" t="s">
        <v>32</v>
      </c>
      <c r="D258" s="52" t="s">
        <v>6151</v>
      </c>
      <c r="E258" s="52" t="s">
        <v>1030</v>
      </c>
      <c r="F258" s="52" t="s">
        <v>1093</v>
      </c>
      <c r="G258" s="52" t="s">
        <v>1094</v>
      </c>
      <c r="H258" s="52" t="s">
        <v>1095</v>
      </c>
      <c r="I258" s="52">
        <v>2.5221017E7</v>
      </c>
      <c r="J258" s="117" t="s">
        <v>1872</v>
      </c>
      <c r="K258" s="52" t="str">
        <f>VLOOKUP(F258,PAGO1,7,FALSE)</f>
        <v>#N/A</v>
      </c>
      <c r="L258" s="72">
        <f>VLOOKUP(I258,PAGO2,5,FALSE)</f>
        <v>1500000</v>
      </c>
      <c r="M258" s="72">
        <f>VLOOKUP(I258,PAGO3,5,FALSE)</f>
        <v>7500000</v>
      </c>
      <c r="O258" s="52" t="str">
        <f>VLOOKUP(I258,RANGOPAGOS5,7,FALSE)</f>
        <v>$ 7.500.000</v>
      </c>
      <c r="P258" s="52" t="str">
        <f>VLOOKUP(I258,RANGOPAGOS6,7,FALSE)</f>
        <v>$ 8.045.675,00</v>
      </c>
      <c r="Z258" s="52" t="str">
        <f t="shared" si="1"/>
        <v>#N/A</v>
      </c>
    </row>
    <row r="259">
      <c r="A259" s="52" t="s">
        <v>581</v>
      </c>
      <c r="B259" s="52" t="s">
        <v>1226</v>
      </c>
      <c r="C259" s="52" t="s">
        <v>32</v>
      </c>
      <c r="D259" s="52" t="s">
        <v>6152</v>
      </c>
      <c r="E259" s="52" t="s">
        <v>1030</v>
      </c>
      <c r="F259" s="52" t="s">
        <v>1097</v>
      </c>
      <c r="G259" s="52" t="s">
        <v>1098</v>
      </c>
      <c r="H259" s="52" t="s">
        <v>1099</v>
      </c>
      <c r="I259" s="52">
        <v>8.706746E7</v>
      </c>
      <c r="J259" s="117" t="s">
        <v>1779</v>
      </c>
      <c r="K259" s="52" t="str">
        <f>VLOOKUP(F259,PAGO1,7,FALSE)</f>
        <v>#N/A</v>
      </c>
      <c r="L259" s="72">
        <f>VLOOKUP(I259,PAGO2,5,FALSE)</f>
        <v>1400000</v>
      </c>
      <c r="M259" s="72">
        <f>VLOOKUP(I259,PAGO3,5,FALSE)</f>
        <v>7000000</v>
      </c>
      <c r="O259" s="52" t="str">
        <f>VLOOKUP(I259,RANGOPAGOS5,7,FALSE)</f>
        <v>$ 7.000.000</v>
      </c>
      <c r="P259" s="52" t="str">
        <f>VLOOKUP(I259,RANGOPAGOS6,7,FALSE)</f>
        <v>$ 7.826.125,00</v>
      </c>
      <c r="Z259" s="52" t="str">
        <f t="shared" si="1"/>
        <v>#N/A</v>
      </c>
    </row>
    <row r="260">
      <c r="A260" s="52" t="s">
        <v>581</v>
      </c>
      <c r="B260" s="52" t="s">
        <v>1233</v>
      </c>
      <c r="C260" s="52" t="s">
        <v>32</v>
      </c>
      <c r="D260" s="52" t="s">
        <v>3661</v>
      </c>
      <c r="E260" s="52" t="s">
        <v>1030</v>
      </c>
      <c r="F260" s="52" t="s">
        <v>1101</v>
      </c>
      <c r="G260" s="52" t="s">
        <v>1102</v>
      </c>
      <c r="H260" s="52" t="s">
        <v>1103</v>
      </c>
      <c r="I260" s="52">
        <v>5.3009738E7</v>
      </c>
      <c r="J260" s="117" t="s">
        <v>3502</v>
      </c>
      <c r="K260" s="52" t="str">
        <f>VLOOKUP(F260,PAGO1,7,FALSE)</f>
        <v>#N/A</v>
      </c>
      <c r="L260" s="72">
        <f>VLOOKUP(I260,PAGO2,5,FALSE)</f>
        <v>2521333</v>
      </c>
      <c r="M260" s="72">
        <f>VLOOKUP(I260,PAGO3,5,FALSE)</f>
        <v>7564000</v>
      </c>
      <c r="O260" s="52" t="str">
        <f>VLOOKUP(I260,RANGOPAGOS5,7,FALSE)</f>
        <v>$ 7.564.000</v>
      </c>
      <c r="P260" s="52" t="str">
        <f>VLOOKUP(I260,RANGOPAGOS6,7,FALSE)</f>
        <v>$ 5.042.667,00</v>
      </c>
      <c r="Z260" s="52" t="str">
        <f t="shared" si="1"/>
        <v>#N/A</v>
      </c>
    </row>
    <row r="261">
      <c r="A261" s="52" t="s">
        <v>581</v>
      </c>
      <c r="B261" s="52" t="s">
        <v>1237</v>
      </c>
      <c r="C261" s="52" t="s">
        <v>32</v>
      </c>
      <c r="D261" s="52" t="s">
        <v>6153</v>
      </c>
      <c r="E261" s="52" t="s">
        <v>1030</v>
      </c>
      <c r="F261" s="52" t="s">
        <v>1105</v>
      </c>
      <c r="G261" s="52" t="s">
        <v>1106</v>
      </c>
      <c r="H261" s="52" t="s">
        <v>1107</v>
      </c>
      <c r="I261" s="52">
        <v>8.0012143E7</v>
      </c>
      <c r="J261" s="117" t="s">
        <v>1874</v>
      </c>
      <c r="K261" s="52" t="str">
        <f>VLOOKUP(F261,PAGO1,7,FALSE)</f>
        <v>#N/A</v>
      </c>
      <c r="L261" s="72">
        <f>VLOOKUP(I261,PAGO2,5,FALSE)</f>
        <v>2333333</v>
      </c>
      <c r="M261" s="72">
        <f>VLOOKUP(I261,PAGO3,5,FALSE)</f>
        <v>10000000</v>
      </c>
      <c r="O261" s="52" t="str">
        <f>VLOOKUP(I261,RANGOPAGOS5,7,FALSE)</f>
        <v>$ 10.000.000</v>
      </c>
      <c r="P261" s="52" t="str">
        <f>VLOOKUP(I261,RANGOPAGOS6,7,FALSE)</f>
        <v>$ 10.000.000,00</v>
      </c>
      <c r="Z261" s="52" t="str">
        <f t="shared" si="1"/>
        <v>#N/A</v>
      </c>
    </row>
    <row r="262">
      <c r="A262" s="52" t="s">
        <v>581</v>
      </c>
      <c r="B262" s="52" t="s">
        <v>1245</v>
      </c>
      <c r="C262" s="52" t="s">
        <v>32</v>
      </c>
      <c r="D262" s="52" t="s">
        <v>6154</v>
      </c>
      <c r="E262" s="52" t="s">
        <v>1030</v>
      </c>
      <c r="F262" s="52" t="s">
        <v>1110</v>
      </c>
      <c r="G262" s="52" t="s">
        <v>1111</v>
      </c>
      <c r="H262" s="52" t="s">
        <v>1112</v>
      </c>
      <c r="I262" s="52">
        <v>1.073519307E9</v>
      </c>
      <c r="J262" s="117" t="s">
        <v>3513</v>
      </c>
      <c r="K262" s="52" t="str">
        <f>VLOOKUP(F262,PAGO1,7,FALSE)</f>
        <v>#N/A</v>
      </c>
      <c r="L262" s="72">
        <f>VLOOKUP(I262,PAGO2,5,FALSE)</f>
        <v>437430</v>
      </c>
      <c r="M262" s="72">
        <f>VLOOKUP(I262,PAGO3,5,FALSE)</f>
        <v>4374300</v>
      </c>
      <c r="O262" s="52" t="str">
        <f>VLOOKUP(I262,RANGOPAGOS5,7,FALSE)</f>
        <v>$ 4.374.300</v>
      </c>
      <c r="P262" s="52" t="str">
        <f>VLOOKUP(I262,RANGOPAGOS6,7,FALSE)</f>
        <v>$ 439.513,00</v>
      </c>
      <c r="Z262" s="52" t="str">
        <f t="shared" si="1"/>
        <v>#N/A</v>
      </c>
    </row>
    <row r="263">
      <c r="A263" s="52"/>
      <c r="B263" s="52" t="s">
        <v>1250</v>
      </c>
      <c r="C263" s="52" t="s">
        <v>32</v>
      </c>
      <c r="D263" s="52" t="s">
        <v>6155</v>
      </c>
      <c r="E263" s="52"/>
      <c r="F263" s="52" t="s">
        <v>2805</v>
      </c>
      <c r="G263" s="52"/>
      <c r="H263" s="52"/>
      <c r="I263" s="52"/>
      <c r="J263" s="117"/>
      <c r="K263" s="52" t="str">
        <f>VLOOKUP(F263,PAGO1,7,FALSE)</f>
        <v>#N/A</v>
      </c>
      <c r="L263" s="52" t="str">
        <f>VLOOKUP(I263,PAGO2,5,FALSE)</f>
        <v>#N/A</v>
      </c>
      <c r="M263" s="52" t="str">
        <f>VLOOKUP(I263,PAGO3,5,FALSE)</f>
        <v>#N/A</v>
      </c>
      <c r="O263" s="52" t="str">
        <f>VLOOKUP(I263,RANGOPAGOS5,7,FALSE)</f>
        <v>#N/A</v>
      </c>
      <c r="P263" s="52" t="str">
        <f>VLOOKUP(I263,RANGOPAGOS6,7,FALSE)</f>
        <v>#N/A</v>
      </c>
      <c r="Z263" s="52" t="str">
        <f t="shared" si="1"/>
        <v>#N/A</v>
      </c>
    </row>
    <row r="264">
      <c r="A264" s="52" t="s">
        <v>581</v>
      </c>
      <c r="B264" s="52" t="s">
        <v>1254</v>
      </c>
      <c r="C264" s="52" t="s">
        <v>32</v>
      </c>
      <c r="D264" s="52" t="s">
        <v>6156</v>
      </c>
      <c r="E264" s="52" t="s">
        <v>1030</v>
      </c>
      <c r="F264" s="52" t="s">
        <v>1115</v>
      </c>
      <c r="G264" s="52" t="s">
        <v>1116</v>
      </c>
      <c r="H264" s="52" t="s">
        <v>1117</v>
      </c>
      <c r="I264" s="52">
        <v>1.019003737E9</v>
      </c>
      <c r="J264" s="117" t="s">
        <v>1875</v>
      </c>
      <c r="K264" s="52" t="str">
        <f>VLOOKUP(F264,PAGO1,7,FALSE)</f>
        <v>#N/A</v>
      </c>
      <c r="L264" s="72">
        <f>VLOOKUP(I264,PAGO2,5,FALSE)</f>
        <v>1649144</v>
      </c>
      <c r="M264" s="72">
        <f>VLOOKUP(I264,PAGO3,5,FALSE)</f>
        <v>7067762</v>
      </c>
      <c r="O264" s="52" t="str">
        <f>VLOOKUP(I264,RANGOPAGOS5,7,FALSE)</f>
        <v>$ 7.067.762</v>
      </c>
      <c r="P264" s="52" t="str">
        <f>VLOOKUP(I264,RANGOPAGOS6,7,FALSE)</f>
        <v>$ 7.067.762,00</v>
      </c>
      <c r="Z264" s="52" t="str">
        <f t="shared" si="1"/>
        <v>#N/A</v>
      </c>
    </row>
    <row r="265">
      <c r="A265" s="52" t="s">
        <v>581</v>
      </c>
      <c r="B265" s="52" t="s">
        <v>1258</v>
      </c>
      <c r="C265" s="52" t="s">
        <v>32</v>
      </c>
      <c r="D265" s="52" t="s">
        <v>6157</v>
      </c>
      <c r="E265" s="52" t="s">
        <v>1030</v>
      </c>
      <c r="F265" s="52" t="s">
        <v>1119</v>
      </c>
      <c r="G265" s="52" t="s">
        <v>1120</v>
      </c>
      <c r="H265" s="52" t="s">
        <v>1121</v>
      </c>
      <c r="I265" s="52">
        <v>1.083897571E9</v>
      </c>
      <c r="J265" s="117" t="s">
        <v>1727</v>
      </c>
      <c r="K265" s="52" t="str">
        <f>VLOOKUP(F265,PAGO1,7,FALSE)</f>
        <v>#N/A</v>
      </c>
      <c r="L265" s="72">
        <f>VLOOKUP(I265,PAGO2,5,FALSE)</f>
        <v>1416667</v>
      </c>
      <c r="M265" s="72">
        <f>VLOOKUP(I265,PAGO3,5,FALSE)</f>
        <v>8500000</v>
      </c>
      <c r="O265" s="52" t="str">
        <f>VLOOKUP(I265,RANGOPAGOS5,7,FALSE)</f>
        <v>$ 8.500.000</v>
      </c>
      <c r="P265" s="52" t="str">
        <f>VLOOKUP(I265,RANGOPAGOS6,7,FALSE)</f>
        <v>$ 8.500.000,00</v>
      </c>
      <c r="Z265" s="52" t="str">
        <f t="shared" si="1"/>
        <v>#N/A</v>
      </c>
    </row>
    <row r="266">
      <c r="A266" s="52" t="s">
        <v>581</v>
      </c>
      <c r="B266" s="52" t="s">
        <v>1263</v>
      </c>
      <c r="C266" s="52" t="s">
        <v>32</v>
      </c>
      <c r="D266" s="52" t="s">
        <v>6158</v>
      </c>
      <c r="E266" s="52" t="s">
        <v>1030</v>
      </c>
      <c r="F266" s="52" t="s">
        <v>1122</v>
      </c>
      <c r="G266" s="52" t="s">
        <v>1123</v>
      </c>
      <c r="H266" s="52" t="s">
        <v>1124</v>
      </c>
      <c r="I266" s="52">
        <v>1.002537103E9</v>
      </c>
      <c r="J266" s="117" t="s">
        <v>3531</v>
      </c>
      <c r="K266" s="52" t="str">
        <f>VLOOKUP(F266,PAGO1,7,FALSE)</f>
        <v>#N/A</v>
      </c>
      <c r="L266" s="72">
        <f>VLOOKUP(I266,PAGO2,5,FALSE)</f>
        <v>379470</v>
      </c>
      <c r="M266" s="72">
        <f>VLOOKUP(I266,PAGO3,5,FALSE)</f>
        <v>1770860</v>
      </c>
      <c r="O266" s="52" t="str">
        <f>VLOOKUP(I266,RANGOPAGOS5,7,FALSE)</f>
        <v>#N/A</v>
      </c>
      <c r="P266" s="52" t="str">
        <f>VLOOKUP(I266,RANGOPAGOS6,7,FALSE)</f>
        <v>#N/A</v>
      </c>
      <c r="Z266" s="52" t="str">
        <f t="shared" si="1"/>
        <v>#N/A</v>
      </c>
    </row>
    <row r="267">
      <c r="A267" s="52" t="s">
        <v>581</v>
      </c>
      <c r="B267" s="52" t="s">
        <v>1269</v>
      </c>
      <c r="C267" s="52" t="s">
        <v>32</v>
      </c>
      <c r="D267" s="52" t="s">
        <v>6159</v>
      </c>
      <c r="E267" s="52" t="s">
        <v>1030</v>
      </c>
      <c r="F267" s="52" t="s">
        <v>1126</v>
      </c>
      <c r="G267" s="52" t="s">
        <v>1127</v>
      </c>
      <c r="H267" s="52" t="s">
        <v>1128</v>
      </c>
      <c r="I267" s="52">
        <v>8.0111613E7</v>
      </c>
      <c r="J267" s="117" t="s">
        <v>1876</v>
      </c>
      <c r="K267" s="52" t="str">
        <f>VLOOKUP(F267,PAGO1,7,FALSE)</f>
        <v>#N/A</v>
      </c>
      <c r="L267" s="72">
        <f>VLOOKUP(I267,PAGO2,5,FALSE)</f>
        <v>700000</v>
      </c>
      <c r="M267" s="72">
        <f>VLOOKUP(I267,PAGO3,5,FALSE)</f>
        <v>7000000</v>
      </c>
      <c r="O267" s="52" t="str">
        <f>VLOOKUP(I267,RANGOPAGOS5,7,FALSE)</f>
        <v>$ 7.000.000</v>
      </c>
      <c r="P267" s="52" t="str">
        <f>VLOOKUP(I267,RANGOPAGOS6,7,FALSE)</f>
        <v>$ 7.000.000,00</v>
      </c>
      <c r="Z267" s="52" t="str">
        <f t="shared" si="1"/>
        <v>#N/A</v>
      </c>
    </row>
    <row r="268">
      <c r="A268" s="52" t="s">
        <v>581</v>
      </c>
      <c r="B268" s="52"/>
      <c r="C268" s="52" t="s">
        <v>32</v>
      </c>
      <c r="D268" s="52" t="s">
        <v>6160</v>
      </c>
      <c r="E268" s="52" t="s">
        <v>781</v>
      </c>
      <c r="F268" s="52" t="s">
        <v>1130</v>
      </c>
      <c r="G268" s="52" t="s">
        <v>1131</v>
      </c>
      <c r="H268" s="52" t="s">
        <v>1132</v>
      </c>
      <c r="I268" s="52">
        <v>1.00022301E9</v>
      </c>
      <c r="J268" s="117" t="s">
        <v>1878</v>
      </c>
      <c r="K268" s="52" t="str">
        <f>VLOOKUP(F268,PAGO1,7,FALSE)</f>
        <v>#N/A</v>
      </c>
      <c r="L268" s="72">
        <f>VLOOKUP(I268,PAGO2,5,FALSE)</f>
        <v>233520</v>
      </c>
      <c r="M268" s="72">
        <f>VLOOKUP(I268,PAGO3,5,FALSE)</f>
        <v>2335200</v>
      </c>
      <c r="O268" s="52" t="str">
        <f>VLOOKUP(I268,RANGOPAGOS5,7,FALSE)</f>
        <v>$ 2.335.200</v>
      </c>
      <c r="P268" s="52" t="str">
        <f>VLOOKUP(I268,RANGOPAGOS6,7,FALSE)</f>
        <v>$ 2.335.200,00</v>
      </c>
      <c r="Z268" s="52" t="str">
        <f t="shared" si="1"/>
        <v>#N/A</v>
      </c>
    </row>
    <row r="269">
      <c r="A269" s="52" t="s">
        <v>1133</v>
      </c>
      <c r="B269" s="52" t="s">
        <v>1279</v>
      </c>
      <c r="C269" s="52" t="s">
        <v>32</v>
      </c>
      <c r="D269" s="52" t="s">
        <v>6161</v>
      </c>
      <c r="E269" s="52" t="s">
        <v>1133</v>
      </c>
      <c r="F269" s="52" t="s">
        <v>1135</v>
      </c>
      <c r="G269" s="52" t="s">
        <v>1136</v>
      </c>
      <c r="H269" s="52" t="s">
        <v>1137</v>
      </c>
      <c r="I269" s="52">
        <v>7.9942061E7</v>
      </c>
      <c r="J269" s="117" t="s">
        <v>1879</v>
      </c>
      <c r="K269" s="52" t="str">
        <f>VLOOKUP(F269,PAGO1,7,FALSE)</f>
        <v>#N/A</v>
      </c>
      <c r="L269" s="52" t="str">
        <f>VLOOKUP(I269,PAGO2,5,FALSE)</f>
        <v>#N/A</v>
      </c>
      <c r="M269" s="72">
        <f>VLOOKUP(I269,PAGO3,5,FALSE)</f>
        <v>1199660</v>
      </c>
      <c r="O269" s="52" t="str">
        <f>VLOOKUP(I269,RANGOPAGOS5,7,FALSE)</f>
        <v>$ 8.997.450</v>
      </c>
      <c r="P269" s="52" t="str">
        <f>VLOOKUP(I269,RANGOPAGOS6,7,FALSE)</f>
        <v>$ 8.997.450,00</v>
      </c>
      <c r="Z269" s="52" t="str">
        <f t="shared" si="1"/>
        <v>#N/A</v>
      </c>
    </row>
    <row r="270">
      <c r="A270" s="52" t="s">
        <v>581</v>
      </c>
      <c r="B270" s="52" t="s">
        <v>1283</v>
      </c>
      <c r="C270" s="52" t="s">
        <v>32</v>
      </c>
      <c r="D270" s="52" t="s">
        <v>6162</v>
      </c>
      <c r="E270" s="52" t="s">
        <v>1030</v>
      </c>
      <c r="F270" s="52" t="s">
        <v>1140</v>
      </c>
      <c r="G270" s="52" t="s">
        <v>1141</v>
      </c>
      <c r="H270" s="52" t="s">
        <v>1142</v>
      </c>
      <c r="I270" s="52" t="s">
        <v>3548</v>
      </c>
      <c r="J270" s="117">
        <v>1.3E8</v>
      </c>
      <c r="K270" s="52" t="str">
        <f>VLOOKUP(F270,PAGO1,7,FALSE)</f>
        <v>#N/A</v>
      </c>
      <c r="L270" s="52" t="str">
        <f>VLOOKUP(I270,PAGO2,5,FALSE)</f>
        <v>#N/A</v>
      </c>
      <c r="M270" s="52" t="str">
        <f>VLOOKUP(I270,PAGO3,5,FALSE)</f>
        <v>#N/A</v>
      </c>
      <c r="O270" s="52" t="str">
        <f>VLOOKUP(I270,RANGOPAGOS5,7,FALSE)</f>
        <v>#N/A</v>
      </c>
      <c r="P270" s="52" t="str">
        <f>VLOOKUP(I270,RANGOPAGOS6,7,FALSE)</f>
        <v>#N/A</v>
      </c>
      <c r="Z270" s="52" t="str">
        <f t="shared" si="1"/>
        <v>#N/A</v>
      </c>
    </row>
    <row r="271">
      <c r="A271" s="52" t="s">
        <v>581</v>
      </c>
      <c r="B271" s="52" t="s">
        <v>1287</v>
      </c>
      <c r="C271" s="52" t="s">
        <v>32</v>
      </c>
      <c r="D271" s="52" t="s">
        <v>6163</v>
      </c>
      <c r="E271" s="52" t="s">
        <v>1030</v>
      </c>
      <c r="F271" s="52" t="s">
        <v>1144</v>
      </c>
      <c r="G271" s="52" t="s">
        <v>1881</v>
      </c>
      <c r="H271" s="52" t="s">
        <v>1146</v>
      </c>
      <c r="I271" s="52">
        <v>5.2220531E7</v>
      </c>
      <c r="J271" s="117" t="s">
        <v>1882</v>
      </c>
      <c r="K271" s="52" t="str">
        <f>VLOOKUP(F271,PAGO1,7,FALSE)</f>
        <v>#N/A</v>
      </c>
      <c r="L271" s="52" t="str">
        <f>VLOOKUP(I271,PAGO2,5,FALSE)</f>
        <v>#N/A</v>
      </c>
      <c r="M271" s="72">
        <f>VLOOKUP(I271,PAGO3,5,FALSE)</f>
        <v>7153600</v>
      </c>
      <c r="O271" s="52" t="str">
        <f>VLOOKUP(I271,RANGOPAGOS5,7,FALSE)</f>
        <v>$ 12.624.000</v>
      </c>
      <c r="P271" s="52" t="str">
        <f>VLOOKUP(I271,RANGOPAGOS6,7,FALSE)</f>
        <v>$ 12.624.000,00</v>
      </c>
      <c r="Z271" s="52" t="str">
        <f t="shared" si="1"/>
        <v>#N/A</v>
      </c>
    </row>
    <row r="272">
      <c r="A272" s="52" t="s">
        <v>581</v>
      </c>
      <c r="B272" s="52" t="s">
        <v>1292</v>
      </c>
      <c r="C272" s="52" t="s">
        <v>32</v>
      </c>
      <c r="D272" s="52" t="s">
        <v>6164</v>
      </c>
      <c r="E272" s="52" t="s">
        <v>583</v>
      </c>
      <c r="F272" s="52" t="s">
        <v>1148</v>
      </c>
      <c r="G272" s="52" t="s">
        <v>1149</v>
      </c>
      <c r="H272" s="52" t="s">
        <v>1150</v>
      </c>
      <c r="I272" s="52">
        <v>1.030562466E9</v>
      </c>
      <c r="J272" s="117">
        <v>7.875E7</v>
      </c>
      <c r="K272" s="52" t="str">
        <f>VLOOKUP(F272,PAGO1,7,FALSE)</f>
        <v>#N/A</v>
      </c>
      <c r="L272" s="52" t="str">
        <f>VLOOKUP(I272,PAGO2,5,FALSE)</f>
        <v>#N/A</v>
      </c>
      <c r="M272" s="72">
        <f>VLOOKUP(I272,PAGO3,5,FALSE)</f>
        <v>7087500</v>
      </c>
      <c r="O272" s="52" t="str">
        <f>VLOOKUP(I272,RANGOPAGOS5,7,FALSE)</f>
        <v>$ 7.875.000</v>
      </c>
      <c r="P272" s="52" t="str">
        <f>VLOOKUP(I272,RANGOPAGOS6,7,FALSE)</f>
        <v>$ 7.875.000,00</v>
      </c>
      <c r="Z272" s="52" t="str">
        <f t="shared" si="1"/>
        <v>#N/A</v>
      </c>
    </row>
    <row r="273">
      <c r="A273" s="52" t="s">
        <v>581</v>
      </c>
      <c r="B273" s="52" t="s">
        <v>5826</v>
      </c>
      <c r="C273" s="52" t="s">
        <v>32</v>
      </c>
      <c r="D273" s="52" t="s">
        <v>6165</v>
      </c>
      <c r="E273" s="52" t="s">
        <v>583</v>
      </c>
      <c r="F273" s="52" t="s">
        <v>1152</v>
      </c>
      <c r="G273" s="52" t="s">
        <v>1153</v>
      </c>
      <c r="H273" s="52" t="s">
        <v>1154</v>
      </c>
      <c r="I273" s="52">
        <v>1.05377392E9</v>
      </c>
      <c r="J273" s="117">
        <v>7.2966E7</v>
      </c>
      <c r="K273" s="52" t="str">
        <f>VLOOKUP(F273,PAGO1,7,FALSE)</f>
        <v>#N/A</v>
      </c>
      <c r="L273" s="72">
        <f>VLOOKUP(I273,PAGO2,5,FALSE)</f>
        <v>5930000</v>
      </c>
      <c r="M273" s="72">
        <f>VLOOKUP(I273,PAGO3,5,FALSE)</f>
        <v>5107620</v>
      </c>
      <c r="O273" s="52" t="str">
        <f>VLOOKUP(I273,RANGOPAGOS5,7,FALSE)</f>
        <v>$ 7.296.600</v>
      </c>
      <c r="P273" s="52" t="str">
        <f>VLOOKUP(I273,RANGOPAGOS6,7,FALSE)</f>
        <v>$ 7.296.600,00</v>
      </c>
      <c r="Z273" s="52" t="str">
        <f t="shared" si="1"/>
        <v>#N/A</v>
      </c>
    </row>
    <row r="274">
      <c r="A274" s="52"/>
      <c r="B274" s="52"/>
      <c r="C274" s="52" t="s">
        <v>32</v>
      </c>
      <c r="D274" s="52" t="s">
        <v>6166</v>
      </c>
      <c r="E274" s="52" t="s">
        <v>583</v>
      </c>
      <c r="F274" s="52" t="s">
        <v>1156</v>
      </c>
      <c r="G274" s="52"/>
      <c r="H274" s="52" t="s">
        <v>1158</v>
      </c>
      <c r="I274" s="52"/>
      <c r="J274" s="117">
        <v>7.89E7</v>
      </c>
      <c r="K274" s="52" t="str">
        <f>VLOOKUP(F274,PAGO1,7,FALSE)</f>
        <v>#N/A</v>
      </c>
      <c r="L274" s="52" t="str">
        <f>VLOOKUP(I274,PAGO2,5,FALSE)</f>
        <v>#N/A</v>
      </c>
      <c r="M274" s="52" t="str">
        <f>VLOOKUP(I274,PAGO3,5,FALSE)</f>
        <v>#N/A</v>
      </c>
      <c r="O274" s="52" t="str">
        <f>VLOOKUP(I274,RANGOPAGOS5,7,FALSE)</f>
        <v>#N/A</v>
      </c>
      <c r="P274" s="52" t="str">
        <f>VLOOKUP(I274,RANGOPAGOS6,7,FALSE)</f>
        <v>#N/A</v>
      </c>
      <c r="Z274" s="52" t="str">
        <f t="shared" si="1"/>
        <v>#N/A</v>
      </c>
    </row>
    <row r="275">
      <c r="A275" s="52" t="s">
        <v>581</v>
      </c>
      <c r="B275" s="52" t="s">
        <v>1303</v>
      </c>
      <c r="C275" s="52" t="s">
        <v>32</v>
      </c>
      <c r="D275" s="52" t="s">
        <v>6167</v>
      </c>
      <c r="E275" s="52" t="s">
        <v>583</v>
      </c>
      <c r="F275" s="52" t="s">
        <v>1160</v>
      </c>
      <c r="G275" s="52" t="s">
        <v>1161</v>
      </c>
      <c r="H275" s="52" t="s">
        <v>1162</v>
      </c>
      <c r="I275" s="52">
        <v>8.0770951E7</v>
      </c>
      <c r="J275" s="117">
        <v>6.6513333E7</v>
      </c>
      <c r="K275" s="52" t="str">
        <f>VLOOKUP(F275,PAGO1,7,FALSE)</f>
        <v>#N/A</v>
      </c>
      <c r="L275" s="52" t="str">
        <f>VLOOKUP(I275,PAGO2,5,FALSE)</f>
        <v>#N/A</v>
      </c>
      <c r="M275" s="72">
        <f>VLOOKUP(I275,PAGO3,5,FALSE)</f>
        <v>4830000</v>
      </c>
      <c r="O275" s="52" t="str">
        <f>VLOOKUP(I275,RANGOPAGOS5,7,FALSE)</f>
        <v>$ 6.900.000</v>
      </c>
      <c r="P275" s="52" t="str">
        <f>VLOOKUP(I275,RANGOPAGOS6,7,FALSE)</f>
        <v>$ 7.520.675,00</v>
      </c>
      <c r="Z275" s="52" t="str">
        <f t="shared" si="1"/>
        <v>#N/A</v>
      </c>
    </row>
    <row r="276">
      <c r="A276" s="52" t="s">
        <v>581</v>
      </c>
      <c r="B276" s="52" t="s">
        <v>1307</v>
      </c>
      <c r="C276" s="52" t="s">
        <v>32</v>
      </c>
      <c r="D276" s="52" t="s">
        <v>6168</v>
      </c>
      <c r="E276" s="52" t="s">
        <v>583</v>
      </c>
      <c r="F276" s="52" t="s">
        <v>1164</v>
      </c>
      <c r="G276" s="52" t="s">
        <v>1165</v>
      </c>
      <c r="H276" s="52" t="s">
        <v>3577</v>
      </c>
      <c r="I276" s="52" t="s">
        <v>3576</v>
      </c>
      <c r="J276" s="117">
        <v>7379736.0</v>
      </c>
      <c r="K276" s="52" t="str">
        <f>VLOOKUP(F276,PAGO1,7,FALSE)</f>
        <v>#N/A</v>
      </c>
      <c r="L276" s="52" t="str">
        <f>VLOOKUP(I276,PAGO2,5,FALSE)</f>
        <v>#N/A</v>
      </c>
      <c r="M276" s="52" t="str">
        <f>VLOOKUP(I276,PAGO3,5,FALSE)</f>
        <v>#N/A</v>
      </c>
      <c r="O276" s="52" t="str">
        <f>VLOOKUP(I276,RANGOPAGOS5,7,FALSE)</f>
        <v>#N/A</v>
      </c>
      <c r="P276" s="52" t="str">
        <f>VLOOKUP(I276,RANGOPAGOS6,7,FALSE)</f>
        <v>#N/A</v>
      </c>
      <c r="Z276" s="52" t="str">
        <f t="shared" si="1"/>
        <v>#N/A</v>
      </c>
    </row>
    <row r="277">
      <c r="A277" s="52" t="s">
        <v>581</v>
      </c>
      <c r="B277" s="52"/>
      <c r="C277" s="52" t="s">
        <v>32</v>
      </c>
      <c r="D277" s="52" t="s">
        <v>6169</v>
      </c>
      <c r="E277" s="52" t="s">
        <v>583</v>
      </c>
      <c r="F277" s="52" t="s">
        <v>1170</v>
      </c>
      <c r="G277" s="52" t="s">
        <v>1171</v>
      </c>
      <c r="H277" s="52" t="s">
        <v>1172</v>
      </c>
      <c r="I277" s="52">
        <v>1.032497761E9</v>
      </c>
      <c r="J277" s="117">
        <v>2.56E7</v>
      </c>
      <c r="K277" s="52" t="str">
        <f>VLOOKUP(F277,PAGO1,7,FALSE)</f>
        <v>#N/A</v>
      </c>
      <c r="L277" s="52" t="str">
        <f>VLOOKUP(I277,PAGO2,5,FALSE)</f>
        <v>#N/A</v>
      </c>
      <c r="M277" s="72">
        <f>VLOOKUP(I277,PAGO3,5,FALSE)</f>
        <v>2133333</v>
      </c>
      <c r="O277" s="52" t="str">
        <f>VLOOKUP(I277,RANGOPAGOS5,7,FALSE)</f>
        <v>$ 3.200.000</v>
      </c>
      <c r="P277" s="52" t="str">
        <f>VLOOKUP(I277,RANGOPAGOS6,7,FALSE)</f>
        <v>$ 3.200.000,00</v>
      </c>
      <c r="Z277" s="52" t="str">
        <f t="shared" si="1"/>
        <v>#N/A</v>
      </c>
    </row>
    <row r="278">
      <c r="A278" s="52" t="s">
        <v>581</v>
      </c>
      <c r="B278" s="52" t="s">
        <v>1319</v>
      </c>
      <c r="C278" s="52" t="s">
        <v>32</v>
      </c>
      <c r="D278" s="52" t="s">
        <v>6170</v>
      </c>
      <c r="E278" s="52" t="s">
        <v>583</v>
      </c>
      <c r="F278" s="52" t="s">
        <v>1174</v>
      </c>
      <c r="G278" s="52" t="s">
        <v>1175</v>
      </c>
      <c r="H278" s="52" t="s">
        <v>1176</v>
      </c>
      <c r="I278" s="52">
        <v>5.5249794E7</v>
      </c>
      <c r="J278" s="117">
        <v>6.3E7</v>
      </c>
      <c r="K278" s="52" t="str">
        <f>VLOOKUP(F278,PAGO1,7,FALSE)</f>
        <v>#N/A</v>
      </c>
      <c r="L278" s="52" t="str">
        <f>VLOOKUP(I278,PAGO2,5,FALSE)</f>
        <v>#N/A</v>
      </c>
      <c r="M278" s="72">
        <f>VLOOKUP(I278,PAGO3,5,FALSE)</f>
        <v>4869050</v>
      </c>
      <c r="O278" s="52" t="str">
        <f>VLOOKUP(I278,RANGOPAGOS5,7,FALSE)</f>
        <v>$ 6.000.000</v>
      </c>
      <c r="P278" s="52" t="str">
        <f>VLOOKUP(I278,RANGOPAGOS6,7,FALSE)</f>
        <v>$ 7.912.475,00</v>
      </c>
      <c r="Z278" s="52" t="str">
        <f t="shared" si="1"/>
        <v>#N/A</v>
      </c>
    </row>
    <row r="279">
      <c r="A279" s="52" t="s">
        <v>581</v>
      </c>
      <c r="B279" s="52" t="s">
        <v>1324</v>
      </c>
      <c r="C279" s="52" t="s">
        <v>32</v>
      </c>
      <c r="D279" s="52" t="s">
        <v>6171</v>
      </c>
      <c r="E279" s="52" t="s">
        <v>583</v>
      </c>
      <c r="F279" s="52" t="s">
        <v>1178</v>
      </c>
      <c r="G279" s="52" t="s">
        <v>1179</v>
      </c>
      <c r="H279" s="52" t="s">
        <v>1180</v>
      </c>
      <c r="I279" s="52">
        <v>1.013658948E9</v>
      </c>
      <c r="J279" s="117">
        <v>8.897E7</v>
      </c>
      <c r="K279" s="52" t="str">
        <f>VLOOKUP(F279,PAGO1,7,FALSE)</f>
        <v>#N/A</v>
      </c>
      <c r="L279" s="52" t="str">
        <f>VLOOKUP(I279,PAGO2,5,FALSE)</f>
        <v>#N/A</v>
      </c>
      <c r="M279" s="72">
        <f>VLOOKUP(I279,PAGO3,5,FALSE)</f>
        <v>5931333</v>
      </c>
      <c r="O279" s="52" t="str">
        <f>VLOOKUP(I279,RANGOPAGOS5,7,FALSE)</f>
        <v>$ 8.897.000</v>
      </c>
      <c r="P279" s="52" t="str">
        <f>VLOOKUP(I279,RANGOPAGOS6,7,FALSE)</f>
        <v>$ 8.897.000,00</v>
      </c>
      <c r="Z279" s="52" t="str">
        <f t="shared" si="1"/>
        <v>#N/A</v>
      </c>
    </row>
    <row r="280">
      <c r="A280" s="52" t="s">
        <v>581</v>
      </c>
      <c r="B280" s="52" t="s">
        <v>1328</v>
      </c>
      <c r="C280" s="52" t="s">
        <v>32</v>
      </c>
      <c r="D280" s="52" t="s">
        <v>6172</v>
      </c>
      <c r="E280" s="52" t="s">
        <v>583</v>
      </c>
      <c r="F280" s="52" t="s">
        <v>1182</v>
      </c>
      <c r="G280" s="52" t="s">
        <v>1183</v>
      </c>
      <c r="H280" s="52" t="s">
        <v>1184</v>
      </c>
      <c r="I280" s="52">
        <v>4.5546877E7</v>
      </c>
      <c r="J280" s="117">
        <v>7.75718E7</v>
      </c>
      <c r="K280" s="52" t="str">
        <f>VLOOKUP(F280,PAGO1,7,FALSE)</f>
        <v>#N/A</v>
      </c>
      <c r="L280" s="52" t="str">
        <f>VLOOKUP(I280,PAGO2,5,FALSE)</f>
        <v>#N/A</v>
      </c>
      <c r="M280" s="72">
        <f>VLOOKUP(I280,PAGO3,5,FALSE)</f>
        <v>4250000</v>
      </c>
      <c r="O280" s="52" t="str">
        <f>VLOOKUP(I280,RANGOPAGOS5,7,FALSE)</f>
        <v>$ 7.500.000</v>
      </c>
      <c r="P280" s="52" t="str">
        <f>VLOOKUP(I280,RANGOPAGOS6,7,FALSE)</f>
        <v>$ 7.500.000,00</v>
      </c>
      <c r="Z280" s="52" t="str">
        <f t="shared" si="1"/>
        <v>#N/A</v>
      </c>
    </row>
    <row r="281">
      <c r="A281" s="52" t="s">
        <v>581</v>
      </c>
      <c r="B281" s="52" t="s">
        <v>1335</v>
      </c>
      <c r="C281" s="52" t="s">
        <v>32</v>
      </c>
      <c r="D281" s="52" t="s">
        <v>6173</v>
      </c>
      <c r="E281" s="52" t="s">
        <v>583</v>
      </c>
      <c r="F281" s="52" t="s">
        <v>1186</v>
      </c>
      <c r="G281" s="52" t="s">
        <v>1187</v>
      </c>
      <c r="H281" s="52" t="s">
        <v>3605</v>
      </c>
      <c r="I281" s="52" t="s">
        <v>1189</v>
      </c>
      <c r="J281" s="117">
        <v>2.48231819E8</v>
      </c>
      <c r="K281" s="52" t="str">
        <f>VLOOKUP(F281,PAGO1,7,FALSE)</f>
        <v>#N/A</v>
      </c>
      <c r="L281" s="52" t="str">
        <f>VLOOKUP(I281,PAGO2,5,FALSE)</f>
        <v>#N/A</v>
      </c>
      <c r="M281" s="52" t="str">
        <f>VLOOKUP(I281,PAGO3,5,FALSE)</f>
        <v>#N/A</v>
      </c>
      <c r="O281" s="52" t="str">
        <f>VLOOKUP(I281,RANGOPAGOS5,7,FALSE)</f>
        <v>#N/A</v>
      </c>
      <c r="P281" s="52" t="str">
        <f>VLOOKUP(I281,RANGOPAGOS6,7,FALSE)</f>
        <v>#N/A</v>
      </c>
      <c r="Z281" s="52" t="str">
        <f t="shared" si="1"/>
        <v>#N/A</v>
      </c>
    </row>
    <row r="282">
      <c r="A282" s="52" t="s">
        <v>581</v>
      </c>
      <c r="B282" s="52" t="s">
        <v>1339</v>
      </c>
      <c r="C282" s="52" t="s">
        <v>32</v>
      </c>
      <c r="D282" s="52" t="s">
        <v>6174</v>
      </c>
      <c r="E282" s="52" t="s">
        <v>1191</v>
      </c>
      <c r="F282" s="52" t="s">
        <v>3614</v>
      </c>
      <c r="G282" s="52" t="s">
        <v>1193</v>
      </c>
      <c r="H282" s="52" t="s">
        <v>1194</v>
      </c>
      <c r="I282" s="52" t="s">
        <v>1195</v>
      </c>
      <c r="J282" s="117">
        <v>2.2E8</v>
      </c>
      <c r="K282" s="52" t="str">
        <f>VLOOKUP(F282,PAGO1,7,FALSE)</f>
        <v>#N/A</v>
      </c>
      <c r="L282" s="52" t="str">
        <f>VLOOKUP(I282,PAGO2,5,FALSE)</f>
        <v>#N/A</v>
      </c>
      <c r="M282" s="52" t="str">
        <f>VLOOKUP(I282,PAGO3,5,FALSE)</f>
        <v>#N/A</v>
      </c>
      <c r="O282" s="52" t="str">
        <f>VLOOKUP(I282,RANGOPAGOS5,7,FALSE)</f>
        <v>$ 234.500.000</v>
      </c>
      <c r="P282" s="52" t="str">
        <f>VLOOKUP(I282,RANGOPAGOS6,7,FALSE)</f>
        <v>#N/A</v>
      </c>
      <c r="Z282" s="52" t="str">
        <f t="shared" si="1"/>
        <v>#N/A</v>
      </c>
    </row>
    <row r="283">
      <c r="A283" s="52" t="s">
        <v>581</v>
      </c>
      <c r="B283" s="52" t="s">
        <v>1345</v>
      </c>
      <c r="C283" s="52" t="s">
        <v>32</v>
      </c>
      <c r="D283" s="52" t="s">
        <v>6175</v>
      </c>
      <c r="E283" s="52" t="s">
        <v>583</v>
      </c>
      <c r="F283" s="52" t="s">
        <v>1198</v>
      </c>
      <c r="G283" s="52" t="s">
        <v>1199</v>
      </c>
      <c r="H283" s="52" t="s">
        <v>1200</v>
      </c>
      <c r="I283" s="52">
        <v>1.102363429E9</v>
      </c>
      <c r="J283" s="117">
        <v>8.385E7</v>
      </c>
      <c r="K283" s="52" t="str">
        <f>VLOOKUP(F283,PAGO1,7,FALSE)</f>
        <v>#N/A</v>
      </c>
      <c r="L283" s="52" t="str">
        <f>VLOOKUP(I283,PAGO2,5,FALSE)</f>
        <v>#N/A</v>
      </c>
      <c r="M283" s="72">
        <f>VLOOKUP(I283,PAGO3,5,FALSE)</f>
        <v>3596667</v>
      </c>
      <c r="O283" s="52" t="str">
        <f>VLOOKUP(I283,RANGOPAGOS5,7,FALSE)</f>
        <v>$ 9.203.395</v>
      </c>
      <c r="P283" s="52" t="str">
        <f>VLOOKUP(I283,RANGOPAGOS6,7,FALSE)</f>
        <v>$ 9.203.395,00</v>
      </c>
      <c r="Z283" s="52" t="str">
        <f t="shared" si="1"/>
        <v>#N/A</v>
      </c>
    </row>
    <row r="284">
      <c r="A284" s="52" t="s">
        <v>581</v>
      </c>
      <c r="B284" s="52" t="s">
        <v>1351</v>
      </c>
      <c r="C284" s="52" t="s">
        <v>32</v>
      </c>
      <c r="D284" s="52" t="s">
        <v>6176</v>
      </c>
      <c r="E284" s="52" t="s">
        <v>583</v>
      </c>
      <c r="F284" s="52" t="s">
        <v>1204</v>
      </c>
      <c r="G284" s="52" t="s">
        <v>1205</v>
      </c>
      <c r="H284" s="52" t="s">
        <v>3627</v>
      </c>
      <c r="I284" s="52"/>
      <c r="J284" s="117">
        <v>2.63E8</v>
      </c>
      <c r="K284" s="52" t="str">
        <f>VLOOKUP(F284,PAGO1,7,FALSE)</f>
        <v>#N/A</v>
      </c>
      <c r="L284" s="52" t="str">
        <f>VLOOKUP(I284,PAGO2,5,FALSE)</f>
        <v>#N/A</v>
      </c>
      <c r="M284" s="52" t="str">
        <f>VLOOKUP(I284,PAGO3,5,FALSE)</f>
        <v>#N/A</v>
      </c>
      <c r="O284" s="52" t="str">
        <f>VLOOKUP(I284,RANGOPAGOS5,7,FALSE)</f>
        <v>#N/A</v>
      </c>
      <c r="P284" s="52" t="str">
        <f>VLOOKUP(I284,RANGOPAGOS6,7,FALSE)</f>
        <v>#N/A</v>
      </c>
      <c r="Z284" s="52" t="str">
        <f t="shared" si="1"/>
        <v>#N/A</v>
      </c>
    </row>
    <row r="285">
      <c r="A285" s="52" t="s">
        <v>581</v>
      </c>
      <c r="B285" s="52" t="s">
        <v>3782</v>
      </c>
      <c r="C285" s="52" t="s">
        <v>32</v>
      </c>
      <c r="D285" s="52" t="s">
        <v>6177</v>
      </c>
      <c r="E285" s="52" t="s">
        <v>81</v>
      </c>
      <c r="F285" s="52" t="s">
        <v>1209</v>
      </c>
      <c r="G285" s="52" t="s">
        <v>1210</v>
      </c>
      <c r="H285" s="52" t="s">
        <v>1211</v>
      </c>
      <c r="I285" s="52" t="s">
        <v>3633</v>
      </c>
      <c r="J285" s="117">
        <v>1.99614472E8</v>
      </c>
      <c r="K285" s="52" t="str">
        <f>VLOOKUP(F285,PAGO1,7,FALSE)</f>
        <v>#N/A</v>
      </c>
      <c r="L285" s="52" t="str">
        <f>VLOOKUP(I285,PAGO2,5,FALSE)</f>
        <v>#N/A</v>
      </c>
      <c r="M285" s="52" t="str">
        <f>VLOOKUP(I285,PAGO3,5,FALSE)</f>
        <v>#N/A</v>
      </c>
      <c r="O285" s="52" t="str">
        <f>VLOOKUP(I285,RANGOPAGOS5,7,FALSE)</f>
        <v>#N/A</v>
      </c>
      <c r="P285" s="52" t="str">
        <f>VLOOKUP(I285,RANGOPAGOS6,7,FALSE)</f>
        <v>#N/A</v>
      </c>
      <c r="Z285" s="52" t="str">
        <f t="shared" si="1"/>
        <v>#N/A</v>
      </c>
    </row>
    <row r="286">
      <c r="A286" s="52" t="s">
        <v>581</v>
      </c>
      <c r="B286" s="52" t="s">
        <v>3788</v>
      </c>
      <c r="C286" s="52" t="s">
        <v>32</v>
      </c>
      <c r="D286" s="52"/>
      <c r="E286" s="52" t="s">
        <v>583</v>
      </c>
      <c r="F286" s="52" t="s">
        <v>1213</v>
      </c>
      <c r="G286" s="52" t="s">
        <v>1214</v>
      </c>
      <c r="H286" s="52" t="s">
        <v>1215</v>
      </c>
      <c r="I286" s="52"/>
      <c r="J286" s="117" t="s">
        <v>1900</v>
      </c>
      <c r="K286" s="52" t="str">
        <f>VLOOKUP(F286,PAGO1,7,FALSE)</f>
        <v>#N/A</v>
      </c>
      <c r="L286" s="52" t="str">
        <f>VLOOKUP(I286,PAGO2,5,FALSE)</f>
        <v>#N/A</v>
      </c>
      <c r="M286" s="52" t="str">
        <f>VLOOKUP(I286,PAGO3,5,FALSE)</f>
        <v>#N/A</v>
      </c>
      <c r="O286" s="52" t="str">
        <f>VLOOKUP(I286,RANGOPAGOS5,7,FALSE)</f>
        <v>#N/A</v>
      </c>
      <c r="P286" s="52" t="str">
        <f>VLOOKUP(I286,RANGOPAGOS6,7,FALSE)</f>
        <v>#N/A</v>
      </c>
      <c r="Z286" s="52" t="str">
        <f t="shared" si="1"/>
        <v>#N/A</v>
      </c>
    </row>
    <row r="287">
      <c r="A287" s="52" t="s">
        <v>581</v>
      </c>
      <c r="B287" s="52" t="s">
        <v>3794</v>
      </c>
      <c r="C287" s="52" t="s">
        <v>32</v>
      </c>
      <c r="D287" s="52"/>
      <c r="E287" s="52" t="s">
        <v>583</v>
      </c>
      <c r="F287" s="52" t="s">
        <v>1217</v>
      </c>
      <c r="G287" s="52" t="s">
        <v>1218</v>
      </c>
      <c r="H287" s="52" t="s">
        <v>1219</v>
      </c>
      <c r="I287" s="52"/>
      <c r="J287" s="117">
        <v>3.0116625E7</v>
      </c>
      <c r="K287" s="52" t="str">
        <f>VLOOKUP(F287,PAGO1,7,FALSE)</f>
        <v>#N/A</v>
      </c>
      <c r="L287" s="52" t="str">
        <f>VLOOKUP(I287,PAGO2,5,FALSE)</f>
        <v>#N/A</v>
      </c>
      <c r="M287" s="52" t="str">
        <f>VLOOKUP(I287,PAGO3,5,FALSE)</f>
        <v>#N/A</v>
      </c>
      <c r="O287" s="52" t="str">
        <f>VLOOKUP(I287,RANGOPAGOS5,7,FALSE)</f>
        <v>#N/A</v>
      </c>
      <c r="P287" s="52" t="str">
        <f>VLOOKUP(I287,RANGOPAGOS6,7,FALSE)</f>
        <v>#N/A</v>
      </c>
      <c r="Z287" s="52" t="str">
        <f t="shared" si="1"/>
        <v>#N/A</v>
      </c>
    </row>
    <row r="288">
      <c r="A288" s="52" t="s">
        <v>581</v>
      </c>
      <c r="B288" s="52" t="s">
        <v>1357</v>
      </c>
      <c r="C288" s="52" t="s">
        <v>32</v>
      </c>
      <c r="D288" s="52"/>
      <c r="E288" s="52" t="s">
        <v>583</v>
      </c>
      <c r="F288" s="52" t="s">
        <v>1221</v>
      </c>
      <c r="G288" s="52" t="s">
        <v>1222</v>
      </c>
      <c r="H288" s="52" t="s">
        <v>1223</v>
      </c>
      <c r="I288" s="52"/>
      <c r="J288" s="117">
        <v>4.7619375E8</v>
      </c>
      <c r="K288" s="52" t="str">
        <f>VLOOKUP(F288,PAGO1,7,FALSE)</f>
        <v>#N/A</v>
      </c>
      <c r="L288" s="52" t="str">
        <f>VLOOKUP(I288,PAGO2,5,FALSE)</f>
        <v>#N/A</v>
      </c>
      <c r="M288" s="52" t="str">
        <f>VLOOKUP(I288,PAGO3,5,FALSE)</f>
        <v>#N/A</v>
      </c>
      <c r="O288" s="52" t="str">
        <f>VLOOKUP(I288,RANGOPAGOS5,7,FALSE)</f>
        <v>#N/A</v>
      </c>
      <c r="P288" s="52" t="str">
        <f>VLOOKUP(I288,RANGOPAGOS6,7,FALSE)</f>
        <v>#N/A</v>
      </c>
      <c r="Z288" s="52" t="str">
        <f t="shared" si="1"/>
        <v>#N/A</v>
      </c>
    </row>
    <row r="289">
      <c r="A289" s="52" t="s">
        <v>581</v>
      </c>
      <c r="B289" s="52" t="s">
        <v>3810</v>
      </c>
      <c r="C289" s="52" t="s">
        <v>32</v>
      </c>
      <c r="D289" s="52"/>
      <c r="E289" s="52" t="s">
        <v>1227</v>
      </c>
      <c r="F289" s="52" t="s">
        <v>1228</v>
      </c>
      <c r="G289" s="52" t="s">
        <v>1229</v>
      </c>
      <c r="H289" s="52" t="s">
        <v>1230</v>
      </c>
      <c r="I289" s="52" t="s">
        <v>1231</v>
      </c>
      <c r="J289" s="117" t="s">
        <v>1906</v>
      </c>
      <c r="K289" s="52" t="str">
        <f>VLOOKUP(F289,PAGO1,7,FALSE)</f>
        <v>#N/A</v>
      </c>
      <c r="L289" s="52" t="str">
        <f>VLOOKUP(I289,PAGO2,5,FALSE)</f>
        <v>#N/A</v>
      </c>
      <c r="M289" s="52" t="str">
        <f>VLOOKUP(I289,PAGO3,5,FALSE)</f>
        <v>#N/A</v>
      </c>
      <c r="O289" s="52" t="str">
        <f>VLOOKUP(I289,RANGOPAGOS5,7,FALSE)</f>
        <v>#N/A</v>
      </c>
      <c r="P289" s="52" t="str">
        <f>VLOOKUP(I289,RANGOPAGOS6,7,FALSE)</f>
        <v>#N/A</v>
      </c>
      <c r="Z289" s="52" t="str">
        <f t="shared" si="1"/>
        <v>#N/A</v>
      </c>
    </row>
    <row r="290">
      <c r="A290" s="52" t="s">
        <v>1133</v>
      </c>
      <c r="B290" s="52" t="s">
        <v>1370</v>
      </c>
      <c r="C290" s="52" t="s">
        <v>32</v>
      </c>
      <c r="D290" s="52"/>
      <c r="E290" s="52" t="s">
        <v>1133</v>
      </c>
      <c r="F290" s="52" t="s">
        <v>1234</v>
      </c>
      <c r="G290" s="52" t="s">
        <v>1235</v>
      </c>
      <c r="H290" s="52" t="s">
        <v>1236</v>
      </c>
      <c r="I290" s="52">
        <v>8.99999022E8</v>
      </c>
      <c r="J290" s="117" t="s">
        <v>587</v>
      </c>
      <c r="K290" s="52" t="str">
        <f>VLOOKUP(F290,PAGO1,7,FALSE)</f>
        <v>#N/A</v>
      </c>
      <c r="L290" s="52" t="str">
        <f>VLOOKUP(I290,PAGO2,5,FALSE)</f>
        <v>#N/A</v>
      </c>
      <c r="M290" s="52" t="str">
        <f>VLOOKUP(I290,PAGO3,5,FALSE)</f>
        <v>#N/A</v>
      </c>
      <c r="O290" s="52" t="str">
        <f>VLOOKUP(I290,RANGOPAGOS5,7,FALSE)</f>
        <v>#N/A</v>
      </c>
      <c r="P290" s="52" t="str">
        <f>VLOOKUP(I290,RANGOPAGOS6,7,FALSE)</f>
        <v>#N/A</v>
      </c>
      <c r="Z290" s="52" t="str">
        <f t="shared" si="1"/>
        <v>#N/A</v>
      </c>
    </row>
    <row r="291">
      <c r="A291" s="52" t="s">
        <v>581</v>
      </c>
      <c r="B291" s="52"/>
      <c r="C291" s="52" t="s">
        <v>32</v>
      </c>
      <c r="D291" s="52"/>
      <c r="E291" s="52" t="s">
        <v>1238</v>
      </c>
      <c r="F291" s="52" t="s">
        <v>1239</v>
      </c>
      <c r="G291" s="52" t="s">
        <v>1240</v>
      </c>
      <c r="H291" s="52" t="s">
        <v>1241</v>
      </c>
      <c r="I291" s="52" t="s">
        <v>3663</v>
      </c>
      <c r="J291" s="117" t="s">
        <v>1910</v>
      </c>
      <c r="K291" s="52" t="str">
        <f>VLOOKUP(F291,PAGO1,7,FALSE)</f>
        <v>#N/A</v>
      </c>
      <c r="L291" s="52" t="str">
        <f>VLOOKUP(I291,PAGO2,5,FALSE)</f>
        <v>#N/A</v>
      </c>
      <c r="M291" s="52" t="str">
        <f>VLOOKUP(I291,PAGO3,5,FALSE)</f>
        <v>#N/A</v>
      </c>
      <c r="O291" s="52" t="str">
        <f>VLOOKUP(I291,RANGOPAGOS5,7,FALSE)</f>
        <v>#N/A</v>
      </c>
      <c r="P291" s="52" t="str">
        <f>VLOOKUP(I291,RANGOPAGOS6,7,FALSE)</f>
        <v>#N/A</v>
      </c>
      <c r="Z291" s="52" t="str">
        <f t="shared" si="1"/>
        <v>#N/A</v>
      </c>
    </row>
    <row r="292">
      <c r="A292" s="52"/>
      <c r="B292" s="52"/>
      <c r="C292" s="52" t="s">
        <v>32</v>
      </c>
      <c r="D292" s="52"/>
      <c r="E292" s="52"/>
      <c r="F292" s="52">
        <v>45775.0</v>
      </c>
      <c r="G292" s="52"/>
      <c r="H292" s="52" t="s">
        <v>2041</v>
      </c>
      <c r="I292" s="52">
        <v>1.03236941E9</v>
      </c>
      <c r="J292" s="117"/>
      <c r="K292" s="52" t="str">
        <f>VLOOKUP(F292,PAGO1,7,FALSE)</f>
        <v>#N/A</v>
      </c>
      <c r="L292" s="52" t="str">
        <f>VLOOKUP(I292,PAGO2,5,FALSE)</f>
        <v>#N/A</v>
      </c>
      <c r="M292" s="52" t="str">
        <f>VLOOKUP(I292,PAGO3,5,FALSE)</f>
        <v>#N/A</v>
      </c>
      <c r="O292" s="52" t="str">
        <f>VLOOKUP(I292,RANGOPAGOS5,7,FALSE)</f>
        <v>#N/A</v>
      </c>
      <c r="P292" s="52" t="str">
        <f>VLOOKUP(I292,RANGOPAGOS6,7,FALSE)</f>
        <v>#N/A</v>
      </c>
      <c r="Z292" s="52" t="str">
        <f t="shared" si="1"/>
        <v>#N/A</v>
      </c>
    </row>
    <row r="293">
      <c r="A293" s="52" t="s">
        <v>581</v>
      </c>
      <c r="B293" s="52" t="s">
        <v>1379</v>
      </c>
      <c r="C293" s="52" t="s">
        <v>32</v>
      </c>
      <c r="D293" s="52"/>
      <c r="E293" s="52" t="s">
        <v>583</v>
      </c>
      <c r="F293" s="52" t="s">
        <v>1246</v>
      </c>
      <c r="G293" s="52" t="s">
        <v>1247</v>
      </c>
      <c r="H293" s="52" t="s">
        <v>3676</v>
      </c>
      <c r="I293" s="52" t="s">
        <v>3675</v>
      </c>
      <c r="J293" s="117">
        <v>1.99832164E8</v>
      </c>
      <c r="K293" s="52" t="str">
        <f>VLOOKUP(F293,PAGO1,7,FALSE)</f>
        <v>#N/A</v>
      </c>
      <c r="L293" s="52" t="str">
        <f>VLOOKUP(I293,PAGO2,5,FALSE)</f>
        <v>#N/A</v>
      </c>
      <c r="M293" s="52" t="str">
        <f>VLOOKUP(I293,PAGO3,5,FALSE)</f>
        <v>#N/A</v>
      </c>
      <c r="O293" s="52" t="str">
        <f>VLOOKUP(I293,RANGOPAGOS5,7,FALSE)</f>
        <v>#N/A</v>
      </c>
      <c r="P293" s="52" t="str">
        <f>VLOOKUP(I293,RANGOPAGOS6,7,FALSE)</f>
        <v>#N/A</v>
      </c>
      <c r="Z293" s="52" t="str">
        <f t="shared" si="1"/>
        <v>#N/A</v>
      </c>
    </row>
    <row r="294">
      <c r="A294" s="52" t="s">
        <v>581</v>
      </c>
      <c r="B294" s="52" t="s">
        <v>1383</v>
      </c>
      <c r="C294" s="52" t="s">
        <v>32</v>
      </c>
      <c r="D294" s="52"/>
      <c r="E294" s="52" t="s">
        <v>583</v>
      </c>
      <c r="F294" s="52" t="s">
        <v>1251</v>
      </c>
      <c r="G294" s="52" t="s">
        <v>1252</v>
      </c>
      <c r="H294" s="52" t="s">
        <v>1253</v>
      </c>
      <c r="I294" s="52">
        <v>7.9950225E7</v>
      </c>
      <c r="J294" s="117">
        <v>4.2E7</v>
      </c>
      <c r="K294" s="52" t="str">
        <f>VLOOKUP(F294,PAGO1,7,FALSE)</f>
        <v>#N/A</v>
      </c>
      <c r="L294" s="52" t="str">
        <f>VLOOKUP(I294,PAGO2,5,FALSE)</f>
        <v>#N/A</v>
      </c>
      <c r="M294" s="52" t="str">
        <f>VLOOKUP(I294,PAGO3,5,FALSE)</f>
        <v>#N/A</v>
      </c>
      <c r="O294" s="52" t="str">
        <f>VLOOKUP(I294,RANGOPAGOS5,7,FALSE)</f>
        <v>#N/A</v>
      </c>
      <c r="P294" s="52" t="str">
        <f>VLOOKUP(I294,RANGOPAGOS6,7,FALSE)</f>
        <v>$ 6.766.666,00</v>
      </c>
      <c r="Z294" s="52" t="str">
        <f t="shared" si="1"/>
        <v>#N/A</v>
      </c>
    </row>
    <row r="295">
      <c r="A295" s="52" t="s">
        <v>581</v>
      </c>
      <c r="B295" s="52" t="s">
        <v>1387</v>
      </c>
      <c r="C295" s="52" t="s">
        <v>32</v>
      </c>
      <c r="D295" s="52"/>
      <c r="E295" s="52" t="s">
        <v>583</v>
      </c>
      <c r="F295" s="52" t="s">
        <v>1255</v>
      </c>
      <c r="G295" s="52" t="s">
        <v>1256</v>
      </c>
      <c r="H295" s="52" t="s">
        <v>1257</v>
      </c>
      <c r="I295" s="52">
        <v>1.032359288E9</v>
      </c>
      <c r="J295" s="117">
        <v>3.6212734E7</v>
      </c>
      <c r="K295" s="52" t="str">
        <f>VLOOKUP(F295,PAGO1,7,FALSE)</f>
        <v>#N/A</v>
      </c>
      <c r="L295" s="52" t="str">
        <f>VLOOKUP(I295,PAGO2,5,FALSE)</f>
        <v>#N/A</v>
      </c>
      <c r="M295" s="52" t="str">
        <f>VLOOKUP(I295,PAGO3,5,FALSE)</f>
        <v>#N/A</v>
      </c>
      <c r="O295" s="52" t="str">
        <f>VLOOKUP(I295,RANGOPAGOS5,7,FALSE)</f>
        <v>$ 4.678.200</v>
      </c>
      <c r="P295" s="52" t="str">
        <f>VLOOKUP(I295,RANGOPAGOS6,7,FALSE)</f>
        <v>$ 5.198.000,00</v>
      </c>
      <c r="Z295" s="52" t="str">
        <f t="shared" si="1"/>
        <v>#N/A</v>
      </c>
    </row>
    <row r="296">
      <c r="A296" s="52"/>
      <c r="B296" s="52" t="s">
        <v>1392</v>
      </c>
      <c r="C296" s="52" t="s">
        <v>32</v>
      </c>
      <c r="D296" s="52"/>
      <c r="E296" s="52"/>
      <c r="F296" s="52">
        <v>45751.0</v>
      </c>
      <c r="G296" s="52"/>
      <c r="H296" s="52" t="s">
        <v>2041</v>
      </c>
      <c r="I296" s="52">
        <v>1.019090785E9</v>
      </c>
      <c r="J296" s="117"/>
      <c r="K296" s="52" t="str">
        <f>VLOOKUP(F296,PAGO1,7,FALSE)</f>
        <v>#N/A</v>
      </c>
      <c r="L296" s="52" t="str">
        <f>VLOOKUP(I296,PAGO2,5,FALSE)</f>
        <v>#N/A</v>
      </c>
      <c r="M296" s="52" t="str">
        <f>VLOOKUP(I296,PAGO3,5,FALSE)</f>
        <v>#N/A</v>
      </c>
      <c r="O296" s="52" t="str">
        <f>VLOOKUP(I296,RANGOPAGOS5,7,FALSE)</f>
        <v>#N/A</v>
      </c>
      <c r="P296" s="52" t="str">
        <f>VLOOKUP(I296,RANGOPAGOS6,7,FALSE)</f>
        <v>#N/A</v>
      </c>
      <c r="Z296" s="52" t="str">
        <f t="shared" si="1"/>
        <v>#N/A</v>
      </c>
    </row>
    <row r="297">
      <c r="A297" s="52"/>
      <c r="B297" s="52"/>
      <c r="C297" s="52" t="s">
        <v>32</v>
      </c>
      <c r="D297" s="52"/>
      <c r="E297" s="52"/>
      <c r="F297" s="52" t="s">
        <v>3475</v>
      </c>
      <c r="G297" s="52"/>
      <c r="H297" s="52"/>
      <c r="I297" s="52"/>
      <c r="J297" s="117"/>
      <c r="K297" s="52" t="str">
        <f>VLOOKUP(F297,PAGO1,7,FALSE)</f>
        <v>#N/A</v>
      </c>
      <c r="L297" s="52" t="str">
        <f>VLOOKUP(I297,PAGO2,5,FALSE)</f>
        <v>#N/A</v>
      </c>
      <c r="M297" s="52" t="str">
        <f>VLOOKUP(I297,PAGO3,5,FALSE)</f>
        <v>#N/A</v>
      </c>
      <c r="O297" s="52" t="str">
        <f>VLOOKUP(I297,RANGOPAGOS5,7,FALSE)</f>
        <v>#N/A</v>
      </c>
      <c r="P297" s="52" t="str">
        <f>VLOOKUP(I297,RANGOPAGOS6,7,FALSE)</f>
        <v>#N/A</v>
      </c>
      <c r="Z297" s="52" t="str">
        <f t="shared" si="1"/>
        <v>#N/A</v>
      </c>
    </row>
    <row r="298">
      <c r="A298" s="52" t="s">
        <v>581</v>
      </c>
      <c r="B298" s="52" t="s">
        <v>1279</v>
      </c>
      <c r="C298" s="52" t="s">
        <v>32</v>
      </c>
      <c r="D298" s="52"/>
      <c r="E298" s="52" t="s">
        <v>583</v>
      </c>
      <c r="F298" s="52" t="s">
        <v>1259</v>
      </c>
      <c r="G298" s="52" t="s">
        <v>1260</v>
      </c>
      <c r="H298" s="52" t="s">
        <v>1261</v>
      </c>
      <c r="I298" s="52">
        <v>1.088259482E9</v>
      </c>
      <c r="J298" s="117">
        <v>3.427648E7</v>
      </c>
      <c r="K298" s="52" t="str">
        <f>VLOOKUP(F298,PAGO1,7,FALSE)</f>
        <v>#N/A</v>
      </c>
      <c r="L298" s="52" t="str">
        <f>VLOOKUP(I298,PAGO2,5,FALSE)</f>
        <v>#N/A</v>
      </c>
      <c r="M298" s="52" t="str">
        <f>VLOOKUP(I298,PAGO3,5,FALSE)</f>
        <v>#N/A</v>
      </c>
      <c r="O298" s="52" t="str">
        <f>VLOOKUP(I298,RANGOPAGOS5,7,FALSE)</f>
        <v>$ 3.366.440</v>
      </c>
      <c r="P298" s="52" t="str">
        <f>VLOOKUP(I298,RANGOPAGOS6,7,FALSE)</f>
        <v>$ 4.590.600,00</v>
      </c>
      <c r="Z298" s="52" t="str">
        <f t="shared" si="1"/>
        <v>#N/A</v>
      </c>
    </row>
    <row r="299">
      <c r="A299" s="52" t="s">
        <v>581</v>
      </c>
      <c r="B299" s="52" t="s">
        <v>1283</v>
      </c>
      <c r="C299" s="52" t="s">
        <v>32</v>
      </c>
      <c r="D299" s="52"/>
      <c r="E299" s="52" t="s">
        <v>1030</v>
      </c>
      <c r="F299" s="52" t="s">
        <v>1264</v>
      </c>
      <c r="G299" s="52" t="s">
        <v>1265</v>
      </c>
      <c r="H299" s="52" t="s">
        <v>1266</v>
      </c>
      <c r="I299" s="52" t="s">
        <v>3693</v>
      </c>
      <c r="J299" s="117" t="s">
        <v>1914</v>
      </c>
      <c r="K299" s="52" t="str">
        <f>VLOOKUP(F299,PAGO1,7,FALSE)</f>
        <v>#N/A</v>
      </c>
      <c r="L299" s="52" t="str">
        <f>VLOOKUP(I299,PAGO2,5,FALSE)</f>
        <v>#N/A</v>
      </c>
      <c r="M299" s="52" t="str">
        <f>VLOOKUP(I299,PAGO3,5,FALSE)</f>
        <v>#N/A</v>
      </c>
      <c r="O299" s="52" t="str">
        <f>VLOOKUP(I299,RANGOPAGOS5,7,FALSE)</f>
        <v>#N/A</v>
      </c>
      <c r="P299" s="52" t="str">
        <f>VLOOKUP(I299,RANGOPAGOS6,7,FALSE)</f>
        <v>#N/A</v>
      </c>
      <c r="Z299" s="52" t="str">
        <f t="shared" si="1"/>
        <v>#N/A</v>
      </c>
    </row>
    <row r="300">
      <c r="A300" s="52" t="s">
        <v>581</v>
      </c>
      <c r="B300" s="52" t="s">
        <v>1287</v>
      </c>
      <c r="C300" s="52" t="s">
        <v>32</v>
      </c>
      <c r="D300" s="52"/>
      <c r="E300" s="52" t="s">
        <v>583</v>
      </c>
      <c r="F300" s="52" t="s">
        <v>1270</v>
      </c>
      <c r="G300" s="52" t="s">
        <v>1271</v>
      </c>
      <c r="H300" s="52" t="s">
        <v>1272</v>
      </c>
      <c r="I300" s="52">
        <v>1.088304014E9</v>
      </c>
      <c r="J300" s="117">
        <v>3.75799E7</v>
      </c>
      <c r="K300" s="52" t="str">
        <f>VLOOKUP(F300,PAGO1,7,FALSE)</f>
        <v>#N/A</v>
      </c>
      <c r="L300" s="52" t="str">
        <f>VLOOKUP(I300,PAGO2,5,FALSE)</f>
        <v>#N/A</v>
      </c>
      <c r="M300" s="52" t="str">
        <f>VLOOKUP(I300,PAGO3,5,FALSE)</f>
        <v>#N/A</v>
      </c>
      <c r="O300" s="52" t="str">
        <f>VLOOKUP(I300,RANGOPAGOS5,7,FALSE)</f>
        <v>$ 3.333.333</v>
      </c>
      <c r="P300" s="52" t="str">
        <f>VLOOKUP(I300,RANGOPAGOS6,7,FALSE)</f>
        <v>$ 5.000.000,00</v>
      </c>
      <c r="Z300" s="52" t="str">
        <f t="shared" si="1"/>
        <v>#N/A</v>
      </c>
    </row>
    <row r="301">
      <c r="A301" s="52" t="s">
        <v>581</v>
      </c>
      <c r="B301" s="52" t="s">
        <v>1292</v>
      </c>
      <c r="C301" s="52" t="s">
        <v>32</v>
      </c>
      <c r="D301" s="52"/>
      <c r="E301" s="52" t="s">
        <v>1238</v>
      </c>
      <c r="F301" s="52" t="s">
        <v>1274</v>
      </c>
      <c r="G301" s="52" t="s">
        <v>1275</v>
      </c>
      <c r="H301" s="52" t="s">
        <v>3708</v>
      </c>
      <c r="I301" s="52" t="s">
        <v>3706</v>
      </c>
      <c r="J301" s="117">
        <v>1.92E8</v>
      </c>
      <c r="K301" s="52" t="str">
        <f>VLOOKUP(F301,PAGO1,7,FALSE)</f>
        <v>#N/A</v>
      </c>
      <c r="L301" s="52" t="str">
        <f>VLOOKUP(I301,PAGO2,5,FALSE)</f>
        <v>#N/A</v>
      </c>
      <c r="M301" s="52" t="str">
        <f>VLOOKUP(I301,PAGO3,5,FALSE)</f>
        <v>#N/A</v>
      </c>
      <c r="O301" s="52" t="str">
        <f>VLOOKUP(I301,RANGOPAGOS5,7,FALSE)</f>
        <v>#N/A</v>
      </c>
      <c r="P301" s="52" t="str">
        <f>VLOOKUP(I301,RANGOPAGOS6,7,FALSE)</f>
        <v>#N/A</v>
      </c>
      <c r="Z301" s="52" t="str">
        <f t="shared" si="1"/>
        <v>#N/A</v>
      </c>
    </row>
    <row r="302">
      <c r="A302" s="52" t="s">
        <v>581</v>
      </c>
      <c r="B302" s="52" t="s">
        <v>5826</v>
      </c>
      <c r="C302" s="52" t="s">
        <v>32</v>
      </c>
      <c r="D302" s="52"/>
      <c r="E302" s="52" t="s">
        <v>583</v>
      </c>
      <c r="F302" s="52" t="s">
        <v>1280</v>
      </c>
      <c r="G302" s="52" t="s">
        <v>1281</v>
      </c>
      <c r="H302" s="52" t="s">
        <v>1282</v>
      </c>
      <c r="I302" s="52">
        <v>7.2218912E7</v>
      </c>
      <c r="J302" s="117"/>
      <c r="K302" s="52" t="str">
        <f>VLOOKUP(F302,PAGO1,7,FALSE)</f>
        <v>#N/A</v>
      </c>
      <c r="L302" s="52" t="str">
        <f>VLOOKUP(I302,PAGO2,5,FALSE)</f>
        <v>#N/A</v>
      </c>
      <c r="M302" s="52" t="str">
        <f>VLOOKUP(I302,PAGO3,5,FALSE)</f>
        <v>#N/A</v>
      </c>
      <c r="O302" s="52" t="str">
        <f>VLOOKUP(I302,RANGOPAGOS5,7,FALSE)</f>
        <v>$ 4.442.200</v>
      </c>
      <c r="P302" s="52" t="str">
        <f>VLOOKUP(I302,RANGOPAGOS6,7,FALSE)</f>
        <v>$ 6.663.300,00</v>
      </c>
      <c r="Z302" s="52" t="str">
        <f t="shared" si="1"/>
        <v>#N/A</v>
      </c>
    </row>
    <row r="303">
      <c r="A303" s="52"/>
      <c r="B303" s="52"/>
      <c r="C303" s="52" t="s">
        <v>32</v>
      </c>
      <c r="D303" s="52"/>
      <c r="E303" s="52"/>
      <c r="F303" s="52" t="s">
        <v>3475</v>
      </c>
      <c r="G303" s="52"/>
      <c r="H303" s="52"/>
      <c r="I303" s="52"/>
      <c r="J303" s="117"/>
      <c r="K303" s="52" t="str">
        <f>VLOOKUP(F303,PAGO1,7,FALSE)</f>
        <v>#N/A</v>
      </c>
      <c r="L303" s="52" t="str">
        <f>VLOOKUP(I303,PAGO2,5,FALSE)</f>
        <v>#N/A</v>
      </c>
      <c r="M303" s="52" t="str">
        <f>VLOOKUP(I303,PAGO3,5,FALSE)</f>
        <v>#N/A</v>
      </c>
      <c r="O303" s="52" t="str">
        <f>VLOOKUP(I303,RANGOPAGOS5,7,FALSE)</f>
        <v>#N/A</v>
      </c>
      <c r="P303" s="52" t="str">
        <f>VLOOKUP(I303,RANGOPAGOS6,7,FALSE)</f>
        <v>#N/A</v>
      </c>
      <c r="Z303" s="52" t="str">
        <f t="shared" si="1"/>
        <v>#N/A</v>
      </c>
    </row>
    <row r="304">
      <c r="A304" s="52" t="s">
        <v>581</v>
      </c>
      <c r="B304" s="52" t="s">
        <v>1303</v>
      </c>
      <c r="C304" s="52" t="s">
        <v>32</v>
      </c>
      <c r="D304" s="52"/>
      <c r="E304" s="52" t="s">
        <v>583</v>
      </c>
      <c r="F304" s="52" t="s">
        <v>1284</v>
      </c>
      <c r="G304" s="52" t="s">
        <v>1260</v>
      </c>
      <c r="H304" s="52" t="s">
        <v>1285</v>
      </c>
      <c r="I304" s="52">
        <v>1.12841675E9</v>
      </c>
      <c r="J304" s="117"/>
      <c r="K304" s="52" t="str">
        <f>VLOOKUP(F304,PAGO1,7,FALSE)</f>
        <v>#N/A</v>
      </c>
      <c r="L304" s="52" t="str">
        <f>VLOOKUP(I304,PAGO2,5,FALSE)</f>
        <v>#N/A</v>
      </c>
      <c r="M304" s="52" t="str">
        <f>VLOOKUP(I304,PAGO3,5,FALSE)</f>
        <v>#N/A</v>
      </c>
      <c r="O304" s="52" t="str">
        <f>VLOOKUP(I304,RANGOPAGOS5,7,FALSE)</f>
        <v>$ 6.897.700</v>
      </c>
      <c r="P304" s="52" t="str">
        <f>VLOOKUP(I304,RANGOPAGOS6,7,FALSE)</f>
        <v>$ 8.997.000,00</v>
      </c>
      <c r="Z304" s="52" t="str">
        <f t="shared" si="1"/>
        <v>#N/A</v>
      </c>
    </row>
    <row r="305">
      <c r="A305" s="52" t="s">
        <v>581</v>
      </c>
      <c r="B305" s="52" t="s">
        <v>1307</v>
      </c>
      <c r="C305" s="52" t="s">
        <v>32</v>
      </c>
      <c r="D305" s="52"/>
      <c r="E305" s="52" t="s">
        <v>1191</v>
      </c>
      <c r="F305" s="52" t="s">
        <v>1288</v>
      </c>
      <c r="G305" s="52" t="s">
        <v>1289</v>
      </c>
      <c r="H305" s="52" t="s">
        <v>1290</v>
      </c>
      <c r="I305" s="52">
        <v>5.22132302E8</v>
      </c>
      <c r="J305" s="117"/>
      <c r="K305" s="52" t="str">
        <f>VLOOKUP(F305,PAGO1,7,FALSE)</f>
        <v>#N/A</v>
      </c>
      <c r="L305" s="52" t="str">
        <f>VLOOKUP(I305,PAGO2,5,FALSE)</f>
        <v>#N/A</v>
      </c>
      <c r="M305" s="52" t="str">
        <f>VLOOKUP(I305,PAGO3,5,FALSE)</f>
        <v>#N/A</v>
      </c>
      <c r="O305" s="52" t="str">
        <f>VLOOKUP(I305,RANGOPAGOS5,7,FALSE)</f>
        <v>#N/A</v>
      </c>
      <c r="P305" s="52" t="str">
        <f>VLOOKUP(I305,RANGOPAGOS6,7,FALSE)</f>
        <v>#N/A</v>
      </c>
      <c r="Z305" s="52" t="str">
        <f t="shared" si="1"/>
        <v>#N/A</v>
      </c>
    </row>
    <row r="306">
      <c r="A306" s="52"/>
      <c r="B306" s="52"/>
      <c r="C306" s="52" t="s">
        <v>32</v>
      </c>
      <c r="D306" s="52"/>
      <c r="E306" s="52"/>
      <c r="F306" s="52" t="s">
        <v>3475</v>
      </c>
      <c r="G306" s="52"/>
      <c r="H306" s="52"/>
      <c r="I306" s="52"/>
      <c r="J306" s="117"/>
      <c r="K306" s="52" t="str">
        <f>VLOOKUP(F306,PAGO1,7,FALSE)</f>
        <v>#N/A</v>
      </c>
      <c r="L306" s="52" t="str">
        <f>VLOOKUP(I306,PAGO2,5,FALSE)</f>
        <v>#N/A</v>
      </c>
      <c r="M306" s="52" t="str">
        <f>VLOOKUP(I306,PAGO3,5,FALSE)</f>
        <v>#N/A</v>
      </c>
      <c r="O306" s="52" t="str">
        <f>VLOOKUP(I306,RANGOPAGOS5,7,FALSE)</f>
        <v>#N/A</v>
      </c>
      <c r="P306" s="52" t="str">
        <f>VLOOKUP(I306,RANGOPAGOS6,7,FALSE)</f>
        <v>#N/A</v>
      </c>
      <c r="Z306" s="52" t="str">
        <f t="shared" si="1"/>
        <v>#N/A</v>
      </c>
    </row>
    <row r="307">
      <c r="A307" s="52" t="s">
        <v>581</v>
      </c>
      <c r="B307" s="52" t="s">
        <v>1319</v>
      </c>
      <c r="C307" s="52" t="s">
        <v>32</v>
      </c>
      <c r="D307" s="52"/>
      <c r="E307" s="52" t="s">
        <v>1293</v>
      </c>
      <c r="F307" s="52" t="s">
        <v>1294</v>
      </c>
      <c r="G307" s="52" t="s">
        <v>1295</v>
      </c>
      <c r="H307" s="52" t="s">
        <v>3736</v>
      </c>
      <c r="I307" s="52" t="s">
        <v>3735</v>
      </c>
      <c r="J307" s="117"/>
      <c r="K307" s="52" t="str">
        <f>VLOOKUP(F307,PAGO1,7,FALSE)</f>
        <v>#N/A</v>
      </c>
      <c r="L307" s="52" t="str">
        <f>VLOOKUP(I307,PAGO2,5,FALSE)</f>
        <v>#N/A</v>
      </c>
      <c r="M307" s="52" t="str">
        <f>VLOOKUP(I307,PAGO3,5,FALSE)</f>
        <v>#N/A</v>
      </c>
      <c r="O307" s="52" t="str">
        <f>VLOOKUP(I307,RANGOPAGOS5,7,FALSE)</f>
        <v>#N/A</v>
      </c>
      <c r="P307" s="52" t="str">
        <f>VLOOKUP(I307,RANGOPAGOS6,7,FALSE)</f>
        <v>#N/A</v>
      </c>
      <c r="Z307" s="52" t="str">
        <f t="shared" si="1"/>
        <v>#N/A</v>
      </c>
    </row>
    <row r="308">
      <c r="A308" s="52" t="s">
        <v>581</v>
      </c>
      <c r="B308" s="52" t="s">
        <v>1324</v>
      </c>
      <c r="C308" s="52" t="s">
        <v>32</v>
      </c>
      <c r="D308" s="52"/>
      <c r="E308" s="52" t="s">
        <v>583</v>
      </c>
      <c r="F308" s="52" t="s">
        <v>1300</v>
      </c>
      <c r="G308" s="52" t="s">
        <v>1301</v>
      </c>
      <c r="H308" s="52" t="s">
        <v>1302</v>
      </c>
      <c r="I308" s="52">
        <v>3.6283216E7</v>
      </c>
      <c r="J308" s="117"/>
      <c r="K308" s="52" t="str">
        <f>VLOOKUP(F308,PAGO1,7,FALSE)</f>
        <v>#N/A</v>
      </c>
      <c r="L308" s="52" t="str">
        <f>VLOOKUP(I308,PAGO2,5,FALSE)</f>
        <v>#N/A</v>
      </c>
      <c r="M308" s="52" t="str">
        <f>VLOOKUP(I308,PAGO3,5,FALSE)</f>
        <v>#N/A</v>
      </c>
      <c r="O308" s="52" t="str">
        <f>VLOOKUP(I308,RANGOPAGOS5,7,FALSE)</f>
        <v>$ 5.950.000</v>
      </c>
      <c r="P308" s="52" t="str">
        <f>VLOOKUP(I308,RANGOPAGOS6,7,FALSE)</f>
        <v>$ 8.500.000,00</v>
      </c>
      <c r="Z308" s="52" t="str">
        <f t="shared" si="1"/>
        <v>#N/A</v>
      </c>
    </row>
    <row r="309">
      <c r="A309" s="52" t="s">
        <v>581</v>
      </c>
      <c r="B309" s="52" t="s">
        <v>1328</v>
      </c>
      <c r="C309" s="52" t="s">
        <v>32</v>
      </c>
      <c r="D309" s="52"/>
      <c r="E309" s="52" t="s">
        <v>583</v>
      </c>
      <c r="F309" s="52" t="s">
        <v>1304</v>
      </c>
      <c r="G309" s="52" t="s">
        <v>1305</v>
      </c>
      <c r="H309" s="52" t="s">
        <v>1306</v>
      </c>
      <c r="I309" s="52">
        <v>1.125639792E9</v>
      </c>
      <c r="J309" s="117"/>
      <c r="K309" s="52" t="str">
        <f>VLOOKUP(F309,PAGO1,7,FALSE)</f>
        <v>#N/A</v>
      </c>
      <c r="L309" s="52" t="str">
        <f>VLOOKUP(I309,PAGO2,5,FALSE)</f>
        <v>#N/A</v>
      </c>
      <c r="M309" s="52" t="str">
        <f>VLOOKUP(I309,PAGO3,5,FALSE)</f>
        <v>#N/A</v>
      </c>
      <c r="O309" s="52" t="str">
        <f>VLOOKUP(I309,RANGOPAGOS5,7,FALSE)</f>
        <v>$ 5.066.667</v>
      </c>
      <c r="P309" s="52" t="str">
        <f>VLOOKUP(I309,RANGOPAGOS6,7,FALSE)</f>
        <v>$ 9.500.000,00</v>
      </c>
      <c r="Z309" s="52" t="str">
        <f t="shared" si="1"/>
        <v>#N/A</v>
      </c>
    </row>
    <row r="310">
      <c r="A310" s="52" t="s">
        <v>581</v>
      </c>
      <c r="B310" s="52" t="s">
        <v>1335</v>
      </c>
      <c r="C310" s="52" t="s">
        <v>32</v>
      </c>
      <c r="D310" s="52"/>
      <c r="E310" s="52" t="s">
        <v>1030</v>
      </c>
      <c r="F310" s="52" t="s">
        <v>1308</v>
      </c>
      <c r="G310" s="52" t="s">
        <v>1309</v>
      </c>
      <c r="H310" s="52" t="s">
        <v>1310</v>
      </c>
      <c r="I310" s="52" t="s">
        <v>1311</v>
      </c>
      <c r="J310" s="117"/>
      <c r="K310" s="52" t="str">
        <f>VLOOKUP(F310,PAGO1,7,FALSE)</f>
        <v>#N/A</v>
      </c>
      <c r="L310" s="52" t="str">
        <f>VLOOKUP(I310,PAGO2,5,FALSE)</f>
        <v>#N/A</v>
      </c>
      <c r="M310" s="52" t="str">
        <f>VLOOKUP(I310,PAGO3,5,FALSE)</f>
        <v>#N/A</v>
      </c>
      <c r="O310" s="52" t="str">
        <f>VLOOKUP(I310,RANGOPAGOS5,7,FALSE)</f>
        <v>#N/A</v>
      </c>
      <c r="P310" s="52" t="str">
        <f>VLOOKUP(I310,RANGOPAGOS6,7,FALSE)</f>
        <v>#N/A</v>
      </c>
      <c r="Z310" s="52" t="str">
        <f t="shared" si="1"/>
        <v>#N/A</v>
      </c>
    </row>
    <row r="311">
      <c r="A311" s="52" t="s">
        <v>581</v>
      </c>
      <c r="B311" s="52" t="s">
        <v>1339</v>
      </c>
      <c r="C311" s="52" t="s">
        <v>32</v>
      </c>
      <c r="D311" s="52"/>
      <c r="E311" s="52" t="s">
        <v>1312</v>
      </c>
      <c r="F311" s="52" t="s">
        <v>1313</v>
      </c>
      <c r="G311" s="52" t="s">
        <v>1314</v>
      </c>
      <c r="H311" s="52" t="s">
        <v>1315</v>
      </c>
      <c r="I311" s="52" t="s">
        <v>3759</v>
      </c>
      <c r="J311" s="117"/>
      <c r="K311" s="52" t="str">
        <f>VLOOKUP(F311,PAGO1,7,FALSE)</f>
        <v>#N/A</v>
      </c>
      <c r="L311" s="52" t="str">
        <f>VLOOKUP(I311,PAGO2,5,FALSE)</f>
        <v>#N/A</v>
      </c>
      <c r="M311" s="52" t="str">
        <f>VLOOKUP(I311,PAGO3,5,FALSE)</f>
        <v>#N/A</v>
      </c>
      <c r="O311" s="52" t="str">
        <f>VLOOKUP(I311,RANGOPAGOS5,7,FALSE)</f>
        <v>#N/A</v>
      </c>
      <c r="P311" s="52" t="str">
        <f>VLOOKUP(I311,RANGOPAGOS6,7,FALSE)</f>
        <v>#N/A</v>
      </c>
      <c r="Z311" s="52" t="str">
        <f t="shared" si="1"/>
        <v>#N/A</v>
      </c>
    </row>
    <row r="312">
      <c r="A312" s="52" t="s">
        <v>581</v>
      </c>
      <c r="B312" s="52" t="s">
        <v>1345</v>
      </c>
      <c r="C312" s="52" t="s">
        <v>32</v>
      </c>
      <c r="D312" s="52"/>
      <c r="E312" s="52" t="s">
        <v>1030</v>
      </c>
      <c r="F312" s="52" t="s">
        <v>1320</v>
      </c>
      <c r="G312" s="52" t="s">
        <v>1321</v>
      </c>
      <c r="H312" s="52" t="s">
        <v>1322</v>
      </c>
      <c r="I312" s="52">
        <v>1.000603646E9</v>
      </c>
      <c r="J312" s="117"/>
      <c r="K312" s="52" t="str">
        <f>VLOOKUP(F312,PAGO1,7,FALSE)</f>
        <v>#N/A</v>
      </c>
      <c r="L312" s="52" t="str">
        <f>VLOOKUP(I312,PAGO2,5,FALSE)</f>
        <v>#N/A</v>
      </c>
      <c r="M312" s="52" t="str">
        <f>VLOOKUP(I312,PAGO3,5,FALSE)</f>
        <v>#N/A</v>
      </c>
      <c r="O312" s="52" t="str">
        <f>VLOOKUP(I312,RANGOPAGOS5,7,FALSE)</f>
        <v>#N/A</v>
      </c>
      <c r="P312" s="52" t="str">
        <f>VLOOKUP(I312,RANGOPAGOS6,7,FALSE)</f>
        <v>$ 985.635,00</v>
      </c>
      <c r="Z312" s="52" t="str">
        <f t="shared" si="1"/>
        <v>#N/A</v>
      </c>
    </row>
    <row r="313">
      <c r="A313" s="52" t="s">
        <v>581</v>
      </c>
      <c r="B313" s="52" t="s">
        <v>1351</v>
      </c>
      <c r="C313" s="52" t="s">
        <v>32</v>
      </c>
      <c r="D313" s="52"/>
      <c r="E313" s="52" t="s">
        <v>583</v>
      </c>
      <c r="F313" s="52" t="s">
        <v>1325</v>
      </c>
      <c r="G313" s="52" t="s">
        <v>1326</v>
      </c>
      <c r="H313" s="52" t="s">
        <v>1327</v>
      </c>
      <c r="I313" s="52">
        <v>1.193447899E9</v>
      </c>
      <c r="J313" s="117"/>
      <c r="K313" s="52" t="str">
        <f>VLOOKUP(F313,PAGO1,7,FALSE)</f>
        <v>#N/A</v>
      </c>
      <c r="L313" s="72">
        <f>VLOOKUP(I313,PAGO2,5,FALSE)</f>
        <v>3285450</v>
      </c>
      <c r="M313" s="72">
        <f>VLOOKUP(I313,PAGO3,5,FALSE)</f>
        <v>3285450</v>
      </c>
      <c r="O313" s="52" t="str">
        <f>VLOOKUP(I313,RANGOPAGOS5,7,FALSE)</f>
        <v>$ 1.095.150</v>
      </c>
      <c r="P313" s="52" t="str">
        <f>VLOOKUP(I313,RANGOPAGOS6,7,FALSE)</f>
        <v>$ 3.794.700,00</v>
      </c>
      <c r="Z313" s="52" t="str">
        <f t="shared" si="1"/>
        <v>#N/A</v>
      </c>
    </row>
    <row r="314">
      <c r="A314" s="52" t="s">
        <v>1133</v>
      </c>
      <c r="B314" s="52" t="s">
        <v>3782</v>
      </c>
      <c r="C314" s="52" t="s">
        <v>32</v>
      </c>
      <c r="D314" s="52"/>
      <c r="E314" s="52" t="s">
        <v>1133</v>
      </c>
      <c r="F314" s="52" t="s">
        <v>1934</v>
      </c>
      <c r="G314" s="52" t="s">
        <v>1330</v>
      </c>
      <c r="H314" s="52" t="s">
        <v>1331</v>
      </c>
      <c r="I314" s="52" t="s">
        <v>3777</v>
      </c>
      <c r="J314" s="117"/>
      <c r="K314" s="52" t="str">
        <f>VLOOKUP(F314,PAGO1,7,FALSE)</f>
        <v>#N/A</v>
      </c>
      <c r="L314" s="52" t="str">
        <f>VLOOKUP(I314,PAGO2,5,FALSE)</f>
        <v>#N/A</v>
      </c>
      <c r="M314" s="52" t="str">
        <f>VLOOKUP(I314,PAGO3,5,FALSE)</f>
        <v>#N/A</v>
      </c>
      <c r="O314" s="52" t="str">
        <f>VLOOKUP(I314,RANGOPAGOS5,7,FALSE)</f>
        <v>#N/A</v>
      </c>
      <c r="P314" s="52" t="str">
        <f>VLOOKUP(I314,RANGOPAGOS6,7,FALSE)</f>
        <v>#N/A</v>
      </c>
      <c r="Z314" s="52" t="str">
        <f t="shared" si="1"/>
        <v>#N/A</v>
      </c>
    </row>
    <row r="315">
      <c r="A315" s="52" t="s">
        <v>581</v>
      </c>
      <c r="B315" s="52" t="s">
        <v>3788</v>
      </c>
      <c r="C315" s="52" t="s">
        <v>32</v>
      </c>
      <c r="D315" s="52"/>
      <c r="E315" s="52" t="s">
        <v>583</v>
      </c>
      <c r="F315" s="52" t="s">
        <v>1336</v>
      </c>
      <c r="G315" s="52" t="s">
        <v>1337</v>
      </c>
      <c r="H315" s="52" t="s">
        <v>1338</v>
      </c>
      <c r="I315" s="52">
        <v>5.3054857E7</v>
      </c>
      <c r="J315" s="117"/>
      <c r="K315" s="52" t="str">
        <f>VLOOKUP(F315,PAGO1,7,FALSE)</f>
        <v>#N/A</v>
      </c>
      <c r="L315" s="52" t="str">
        <f>VLOOKUP(I315,PAGO2,5,FALSE)</f>
        <v>#N/A</v>
      </c>
      <c r="M315" s="52" t="str">
        <f>VLOOKUP(I315,PAGO3,5,FALSE)</f>
        <v>#N/A</v>
      </c>
      <c r="O315" s="52" t="str">
        <f>VLOOKUP(I315,RANGOPAGOS5,7,FALSE)</f>
        <v>$ 4.000.000</v>
      </c>
      <c r="P315" s="52" t="str">
        <f>VLOOKUP(I315,RANGOPAGOS6,7,FALSE)</f>
        <v>$ 8.000.000,00</v>
      </c>
      <c r="Z315" s="52" t="str">
        <f t="shared" si="1"/>
        <v>#N/A</v>
      </c>
    </row>
    <row r="316">
      <c r="K316" s="52" t="str">
        <f>VLOOKUP(F316,PAGO1,7,FALSE)</f>
        <v>#N/A</v>
      </c>
      <c r="L316" s="52" t="str">
        <f>VLOOKUP(I316,PAGO2,5,FALSE)</f>
        <v>#N/A</v>
      </c>
      <c r="M316" s="52" t="str">
        <f>VLOOKUP(I316,PAGO3,5,FALSE)</f>
        <v>#N/A</v>
      </c>
      <c r="O316" s="52" t="str">
        <f>VLOOKUP(I316,RANGOPAGOS5,7,FALSE)</f>
        <v>#N/A</v>
      </c>
      <c r="P316" s="52" t="str">
        <f>VLOOKUP(I316,RANGOPAGOS6,7,FALSE)</f>
        <v>#N/A</v>
      </c>
      <c r="Z316" s="52" t="str">
        <f t="shared" si="1"/>
        <v>#N/A</v>
      </c>
    </row>
    <row r="317">
      <c r="K317" s="52" t="str">
        <f>VLOOKUP(F317,PAGO1,7,FALSE)</f>
        <v>#N/A</v>
      </c>
      <c r="L317" s="52" t="str">
        <f>VLOOKUP(I317,PAGO2,5,FALSE)</f>
        <v>#N/A</v>
      </c>
      <c r="M317" s="52" t="str">
        <f>VLOOKUP(I317,PAGO3,5,FALSE)</f>
        <v>#N/A</v>
      </c>
      <c r="O317" s="52" t="str">
        <f>VLOOKUP(I317,RANGOPAGOS5,7,FALSE)</f>
        <v>#N/A</v>
      </c>
      <c r="P317" s="52" t="str">
        <f>VLOOKUP(I317,RANGOPAGOS6,7,FALSE)</f>
        <v>#N/A</v>
      </c>
      <c r="Z317" s="52" t="str">
        <f t="shared" si="1"/>
        <v>#N/A</v>
      </c>
    </row>
    <row r="318">
      <c r="K318" s="52" t="str">
        <f>VLOOKUP(F318,PAGO1,7,FALSE)</f>
        <v>#N/A</v>
      </c>
      <c r="L318" s="52" t="str">
        <f>VLOOKUP(I318,PAGO2,5,FALSE)</f>
        <v>#N/A</v>
      </c>
      <c r="M318" s="52" t="str">
        <f>VLOOKUP(I318,PAGO3,5,FALSE)</f>
        <v>#N/A</v>
      </c>
      <c r="O318" s="52" t="str">
        <f>VLOOKUP(I318,RANGOPAGOS5,7,FALSE)</f>
        <v>#N/A</v>
      </c>
      <c r="P318" s="52" t="str">
        <f>VLOOKUP(I318,RANGOPAGOS6,7,FALSE)</f>
        <v>#N/A</v>
      </c>
      <c r="Z318" s="52" t="str">
        <f t="shared" si="1"/>
        <v>#N/A</v>
      </c>
    </row>
    <row r="319">
      <c r="K319" s="52" t="str">
        <f>VLOOKUP(F319,PAGO1,7,FALSE)</f>
        <v>#N/A</v>
      </c>
      <c r="L319" s="52" t="str">
        <f>VLOOKUP(I319,PAGO2,5,FALSE)</f>
        <v>#N/A</v>
      </c>
      <c r="M319" s="52" t="str">
        <f>VLOOKUP(I319,PAGO3,5,FALSE)</f>
        <v>#N/A</v>
      </c>
      <c r="O319" s="52" t="str">
        <f>VLOOKUP(I319,RANGOPAGOS5,7,FALSE)</f>
        <v>#N/A</v>
      </c>
      <c r="P319" s="52" t="str">
        <f>VLOOKUP(I319,RANGOPAGOS6,7,FALSE)</f>
        <v>#N/A</v>
      </c>
      <c r="Z319" s="52" t="str">
        <f t="shared" si="1"/>
        <v>#N/A</v>
      </c>
    </row>
    <row r="320">
      <c r="K320" s="52" t="str">
        <f>VLOOKUP(F320,PAGO1,7,FALSE)</f>
        <v>#N/A</v>
      </c>
      <c r="L320" s="52" t="str">
        <f>VLOOKUP(I320,PAGO2,5,FALSE)</f>
        <v>#N/A</v>
      </c>
      <c r="M320" s="52" t="str">
        <f>VLOOKUP(I320,PAGO3,5,FALSE)</f>
        <v>#N/A</v>
      </c>
      <c r="O320" s="52" t="str">
        <f>VLOOKUP(I320,RANGOPAGOS5,7,FALSE)</f>
        <v>#N/A</v>
      </c>
      <c r="P320" s="52" t="str">
        <f>VLOOKUP(I320,RANGOPAGOS6,7,FALSE)</f>
        <v>#N/A</v>
      </c>
      <c r="Z320" s="52" t="str">
        <f t="shared" si="1"/>
        <v>#N/A</v>
      </c>
    </row>
    <row r="321">
      <c r="K321" s="52" t="str">
        <f>VLOOKUP(F321,PAGO1,7,FALSE)</f>
        <v>#N/A</v>
      </c>
      <c r="L321" s="52" t="str">
        <f>VLOOKUP(I321,PAGO2,5,FALSE)</f>
        <v>#N/A</v>
      </c>
      <c r="M321" s="52" t="str">
        <f>VLOOKUP(I321,PAGO3,5,FALSE)</f>
        <v>#N/A</v>
      </c>
      <c r="O321" s="52" t="str">
        <f>VLOOKUP(I321,RANGOPAGOS5,7,FALSE)</f>
        <v>#N/A</v>
      </c>
      <c r="P321" s="52" t="str">
        <f>VLOOKUP(I321,RANGOPAGOS6,7,FALSE)</f>
        <v>#N/A</v>
      </c>
      <c r="Z321" s="52" t="str">
        <f t="shared" si="1"/>
        <v>#N/A</v>
      </c>
    </row>
    <row r="322">
      <c r="K322" s="52" t="str">
        <f>VLOOKUP(F322,PAGO1,7,FALSE)</f>
        <v>#N/A</v>
      </c>
      <c r="L322" s="52" t="str">
        <f>VLOOKUP(I322,PAGO2,5,FALSE)</f>
        <v>#N/A</v>
      </c>
      <c r="M322" s="52" t="str">
        <f>VLOOKUP(I322,PAGO3,5,FALSE)</f>
        <v>#N/A</v>
      </c>
      <c r="O322" s="52" t="str">
        <f>VLOOKUP(I322,RANGOPAGOS5,7,FALSE)</f>
        <v>#N/A</v>
      </c>
      <c r="P322" s="52" t="str">
        <f>VLOOKUP(I322,RANGOPAGOS6,7,FALSE)</f>
        <v>#N/A</v>
      </c>
      <c r="Z322" s="52" t="str">
        <f t="shared" si="1"/>
        <v>#N/A</v>
      </c>
    </row>
    <row r="323">
      <c r="K323" s="52" t="str">
        <f>VLOOKUP(F323,PAGO1,7,FALSE)</f>
        <v>#N/A</v>
      </c>
      <c r="L323" s="52" t="str">
        <f>VLOOKUP(I323,PAGO2,5,FALSE)</f>
        <v>#N/A</v>
      </c>
      <c r="M323" s="52" t="str">
        <f>VLOOKUP(I323,PAGO3,5,FALSE)</f>
        <v>#N/A</v>
      </c>
      <c r="O323" s="52" t="str">
        <f>VLOOKUP(I323,RANGOPAGOS5,7,FALSE)</f>
        <v>#N/A</v>
      </c>
      <c r="P323" s="52" t="str">
        <f>VLOOKUP(I323,RANGOPAGOS6,7,FALSE)</f>
        <v>#N/A</v>
      </c>
      <c r="Z323" s="52" t="str">
        <f t="shared" si="1"/>
        <v>#N/A</v>
      </c>
    </row>
    <row r="324">
      <c r="K324" s="52" t="str">
        <f>VLOOKUP(F324,PAGO1,7,FALSE)</f>
        <v>#N/A</v>
      </c>
      <c r="L324" s="52" t="str">
        <f>VLOOKUP(I324,PAGO2,5,FALSE)</f>
        <v>#N/A</v>
      </c>
      <c r="M324" s="52" t="str">
        <f>VLOOKUP(I324,PAGO3,5,FALSE)</f>
        <v>#N/A</v>
      </c>
      <c r="O324" s="52" t="str">
        <f>VLOOKUP(I324,RANGOPAGOS5,7,FALSE)</f>
        <v>#N/A</v>
      </c>
      <c r="P324" s="52" t="str">
        <f>VLOOKUP(I324,RANGOPAGOS6,7,FALSE)</f>
        <v>#N/A</v>
      </c>
      <c r="Z324" s="52" t="str">
        <f t="shared" si="1"/>
        <v>#N/A</v>
      </c>
    </row>
    <row r="325">
      <c r="K325" s="52" t="str">
        <f>VLOOKUP(F325,PAGO1,7,FALSE)</f>
        <v>#N/A</v>
      </c>
      <c r="L325" s="52" t="str">
        <f>VLOOKUP(I325,PAGO2,5,FALSE)</f>
        <v>#N/A</v>
      </c>
      <c r="M325" s="52" t="str">
        <f>VLOOKUP(I325,PAGO3,5,FALSE)</f>
        <v>#N/A</v>
      </c>
      <c r="O325" s="52" t="str">
        <f>VLOOKUP(I325,RANGOPAGOS5,7,FALSE)</f>
        <v>#N/A</v>
      </c>
      <c r="P325" s="52" t="str">
        <f>VLOOKUP(I325,RANGOPAGOS6,7,FALSE)</f>
        <v>#N/A</v>
      </c>
      <c r="Z325" s="52" t="str">
        <f t="shared" si="1"/>
        <v>#N/A</v>
      </c>
    </row>
    <row r="326">
      <c r="K326" s="52" t="str">
        <f>VLOOKUP(F326,PAGO1,7,FALSE)</f>
        <v>#N/A</v>
      </c>
      <c r="L326" s="52" t="str">
        <f>VLOOKUP(I326,PAGO2,5,FALSE)</f>
        <v>#N/A</v>
      </c>
      <c r="M326" s="52" t="str">
        <f>VLOOKUP(I326,PAGO3,5,FALSE)</f>
        <v>#N/A</v>
      </c>
      <c r="O326" s="52" t="str">
        <f>VLOOKUP(I326,RANGOPAGOS5,7,FALSE)</f>
        <v>#N/A</v>
      </c>
      <c r="P326" s="52" t="str">
        <f>VLOOKUP(I326,RANGOPAGOS6,7,FALSE)</f>
        <v>#N/A</v>
      </c>
      <c r="Z326" s="52" t="str">
        <f t="shared" si="1"/>
        <v>#N/A</v>
      </c>
    </row>
    <row r="327">
      <c r="K327" s="52" t="str">
        <f>VLOOKUP(F327,PAGO1,7,FALSE)</f>
        <v>#N/A</v>
      </c>
      <c r="L327" s="52" t="str">
        <f>VLOOKUP(I327,PAGO2,5,FALSE)</f>
        <v>#N/A</v>
      </c>
      <c r="M327" s="52" t="str">
        <f>VLOOKUP(I327,PAGO3,5,FALSE)</f>
        <v>#N/A</v>
      </c>
      <c r="P327" s="52" t="str">
        <f>VLOOKUP(I327,RANGOPAGOS6,7,FALSE)</f>
        <v>#N/A</v>
      </c>
      <c r="Z327" s="52" t="str">
        <f t="shared" si="1"/>
        <v>#N/A</v>
      </c>
    </row>
    <row r="328">
      <c r="K328" s="52" t="str">
        <f>VLOOKUP(F328,PAGO1,7,FALSE)</f>
        <v>#N/A</v>
      </c>
      <c r="L328" s="52" t="str">
        <f>VLOOKUP(I328,PAGO2,5,FALSE)</f>
        <v>#N/A</v>
      </c>
      <c r="M328" s="52" t="str">
        <f>VLOOKUP(I328,PAGO3,5,FALSE)</f>
        <v>#N/A</v>
      </c>
      <c r="P328" s="52" t="str">
        <f>VLOOKUP(I328,RANGOPAGOS6,7,FALSE)</f>
        <v>#N/A</v>
      </c>
      <c r="Z328" s="52" t="str">
        <f t="shared" si="1"/>
        <v>#N/A</v>
      </c>
    </row>
    <row r="329">
      <c r="K329" s="52" t="str">
        <f>VLOOKUP(F329,PAGO1,7,FALSE)</f>
        <v>#N/A</v>
      </c>
      <c r="L329" s="52" t="str">
        <f>VLOOKUP(I329,PAGO2,5,FALSE)</f>
        <v>#N/A</v>
      </c>
      <c r="M329" s="52" t="str">
        <f>VLOOKUP(I329,PAGO3,5,FALSE)</f>
        <v>#N/A</v>
      </c>
      <c r="P329" s="52" t="str">
        <f>VLOOKUP(I329,RANGOPAGOS6,7,FALSE)</f>
        <v>#N/A</v>
      </c>
      <c r="Z329" s="52" t="str">
        <f t="shared" si="1"/>
        <v>#N/A</v>
      </c>
    </row>
    <row r="330">
      <c r="K330" s="52" t="str">
        <f>VLOOKUP(F330,PAGO1,7,FALSE)</f>
        <v>#N/A</v>
      </c>
      <c r="L330" s="52" t="str">
        <f>VLOOKUP(I330,PAGO2,5,FALSE)</f>
        <v>#N/A</v>
      </c>
      <c r="M330" s="52" t="str">
        <f>VLOOKUP(I330,PAGO3,5,FALSE)</f>
        <v>#N/A</v>
      </c>
      <c r="P330" s="52" t="str">
        <f>VLOOKUP(I330,RANGOPAGOS6,7,FALSE)</f>
        <v>#N/A</v>
      </c>
      <c r="Z330" s="52" t="str">
        <f t="shared" si="1"/>
        <v>#N/A</v>
      </c>
    </row>
    <row r="331">
      <c r="K331" s="52" t="str">
        <f>VLOOKUP(F331,PAGO1,7,FALSE)</f>
        <v>#N/A</v>
      </c>
      <c r="L331" s="52" t="str">
        <f>VLOOKUP(I331,PAGO2,5,FALSE)</f>
        <v>#N/A</v>
      </c>
      <c r="M331" s="52" t="str">
        <f>VLOOKUP(I331,PAGO3,5,FALSE)</f>
        <v>#N/A</v>
      </c>
      <c r="P331" s="52" t="str">
        <f>VLOOKUP(I331,RANGOPAGOS6,7,FALSE)</f>
        <v>#N/A</v>
      </c>
      <c r="Z331" s="52" t="str">
        <f t="shared" si="1"/>
        <v>#N/A</v>
      </c>
    </row>
    <row r="332">
      <c r="K332" s="52" t="str">
        <f>VLOOKUP(F332,PAGO1,7,FALSE)</f>
        <v>#N/A</v>
      </c>
      <c r="L332" s="52" t="str">
        <f>VLOOKUP(I332,PAGO2,5,FALSE)</f>
        <v>#N/A</v>
      </c>
      <c r="M332" s="52" t="str">
        <f>VLOOKUP(I332,PAGO3,5,FALSE)</f>
        <v>#N/A</v>
      </c>
      <c r="P332" s="52" t="str">
        <f>VLOOKUP(I332,RANGOPAGOS6,7,FALSE)</f>
        <v>#N/A</v>
      </c>
      <c r="Z332" s="52" t="str">
        <f t="shared" si="1"/>
        <v>#N/A</v>
      </c>
    </row>
    <row r="333">
      <c r="K333" s="52" t="str">
        <f>VLOOKUP(F333,PAGO1,7,FALSE)</f>
        <v>#N/A</v>
      </c>
      <c r="L333" s="52" t="str">
        <f>VLOOKUP(I333,PAGO2,5,FALSE)</f>
        <v>#N/A</v>
      </c>
      <c r="M333" s="52" t="str">
        <f>VLOOKUP(I333,PAGO3,5,FALSE)</f>
        <v>#N/A</v>
      </c>
      <c r="P333" s="52" t="str">
        <f>VLOOKUP(I333,RANGOPAGOS6,7,FALSE)</f>
        <v>#N/A</v>
      </c>
      <c r="Z333" s="52" t="str">
        <f t="shared" si="1"/>
        <v>#N/A</v>
      </c>
    </row>
    <row r="334">
      <c r="K334" s="52" t="str">
        <f>VLOOKUP(F334,PAGO1,7,FALSE)</f>
        <v>#N/A</v>
      </c>
      <c r="L334" s="52" t="str">
        <f>VLOOKUP(I334,PAGO2,5,FALSE)</f>
        <v>#N/A</v>
      </c>
      <c r="M334" s="52" t="str">
        <f>VLOOKUP(I334,PAGO3,5,FALSE)</f>
        <v>#N/A</v>
      </c>
      <c r="P334" s="52" t="str">
        <f>VLOOKUP(I334,RANGOPAGOS6,7,FALSE)</f>
        <v>#N/A</v>
      </c>
      <c r="Z334" s="52" t="str">
        <f t="shared" si="1"/>
        <v>#N/A</v>
      </c>
    </row>
    <row r="335">
      <c r="K335" s="52" t="str">
        <f>VLOOKUP(F335,PAGO1,7,FALSE)</f>
        <v>#N/A</v>
      </c>
      <c r="L335" s="52" t="str">
        <f>VLOOKUP(I335,PAGO2,5,FALSE)</f>
        <v>#N/A</v>
      </c>
      <c r="M335" s="52" t="str">
        <f>VLOOKUP(I335,PAGO3,5,FALSE)</f>
        <v>#N/A</v>
      </c>
      <c r="P335" s="52" t="str">
        <f>VLOOKUP(I335,RANGOPAGOS6,7,FALSE)</f>
        <v>#N/A</v>
      </c>
      <c r="Z335" s="52" t="str">
        <f t="shared" si="1"/>
        <v>#N/A</v>
      </c>
    </row>
    <row r="336">
      <c r="K336" s="52" t="str">
        <f>VLOOKUP(F336,PAGO1,7,FALSE)</f>
        <v>#N/A</v>
      </c>
      <c r="L336" s="52" t="str">
        <f>VLOOKUP(I336,PAGO2,5,FALSE)</f>
        <v>#N/A</v>
      </c>
      <c r="M336" s="52" t="str">
        <f>VLOOKUP(I336,PAGO3,5,FALSE)</f>
        <v>#N/A</v>
      </c>
      <c r="P336" s="52" t="str">
        <f>VLOOKUP(I336,RANGOPAGOS6,7,FALSE)</f>
        <v>#N/A</v>
      </c>
      <c r="Z336" s="52" t="str">
        <f t="shared" si="1"/>
        <v>#N/A</v>
      </c>
    </row>
    <row r="337">
      <c r="K337" s="52" t="str">
        <f>VLOOKUP(F337,PAGO1,7,FALSE)</f>
        <v>#N/A</v>
      </c>
      <c r="L337" s="52" t="str">
        <f>VLOOKUP(I337,PAGO2,5,FALSE)</f>
        <v>#N/A</v>
      </c>
      <c r="M337" s="52" t="str">
        <f>VLOOKUP(I337,PAGO3,5,FALSE)</f>
        <v>#N/A</v>
      </c>
      <c r="P337" s="52" t="str">
        <f>VLOOKUP(I337,RANGOPAGOS6,7,FALSE)</f>
        <v>#N/A</v>
      </c>
      <c r="Z337" s="52" t="str">
        <f t="shared" si="1"/>
        <v>#N/A</v>
      </c>
    </row>
    <row r="338">
      <c r="K338" s="52" t="str">
        <f>VLOOKUP(F338,PAGO1,7,FALSE)</f>
        <v>#N/A</v>
      </c>
      <c r="L338" s="52" t="str">
        <f>VLOOKUP(I338,PAGO2,5,FALSE)</f>
        <v>#N/A</v>
      </c>
      <c r="M338" s="52" t="str">
        <f>VLOOKUP(I338,PAGO3,5,FALSE)</f>
        <v>#N/A</v>
      </c>
      <c r="P338" s="52" t="str">
        <f>VLOOKUP(I338,RANGOPAGOS6,7,FALSE)</f>
        <v>#N/A</v>
      </c>
      <c r="Z338" s="52" t="str">
        <f t="shared" si="1"/>
        <v>#N/A</v>
      </c>
    </row>
    <row r="339">
      <c r="K339" s="52" t="str">
        <f>VLOOKUP(F339,PAGO1,7,FALSE)</f>
        <v>#N/A</v>
      </c>
      <c r="L339" s="52" t="str">
        <f>VLOOKUP(I339,PAGO2,5,FALSE)</f>
        <v>#N/A</v>
      </c>
      <c r="M339" s="52" t="str">
        <f>VLOOKUP(I339,PAGO3,5,FALSE)</f>
        <v>#N/A</v>
      </c>
      <c r="P339" s="52" t="str">
        <f>VLOOKUP(I339,RANGOPAGOS6,7,FALSE)</f>
        <v>#N/A</v>
      </c>
      <c r="Z339" s="52" t="str">
        <f t="shared" si="1"/>
        <v>#N/A</v>
      </c>
    </row>
    <row r="340">
      <c r="K340" s="52" t="str">
        <f>VLOOKUP(F340,PAGO1,7,FALSE)</f>
        <v>#N/A</v>
      </c>
      <c r="L340" s="52" t="str">
        <f>VLOOKUP(I340,PAGO2,5,FALSE)</f>
        <v>#N/A</v>
      </c>
      <c r="M340" s="52" t="str">
        <f>VLOOKUP(I340,PAGO3,5,FALSE)</f>
        <v>#N/A</v>
      </c>
      <c r="P340" s="52" t="str">
        <f>VLOOKUP(I340,RANGOPAGOS6,7,FALSE)</f>
        <v>#N/A</v>
      </c>
      <c r="Z340" s="52" t="str">
        <f t="shared" si="1"/>
        <v>#N/A</v>
      </c>
    </row>
    <row r="341">
      <c r="K341" s="52" t="str">
        <f>VLOOKUP(F341,PAGO1,7,FALSE)</f>
        <v>#N/A</v>
      </c>
      <c r="L341" s="52" t="str">
        <f>VLOOKUP(I341,PAGO2,5,FALSE)</f>
        <v>#N/A</v>
      </c>
      <c r="M341" s="52" t="str">
        <f>VLOOKUP(I341,PAGO3,5,FALSE)</f>
        <v>#N/A</v>
      </c>
      <c r="P341" s="52" t="str">
        <f>VLOOKUP(I341,RANGOPAGOS6,7,FALSE)</f>
        <v>#N/A</v>
      </c>
      <c r="Z341" s="52" t="str">
        <f t="shared" si="1"/>
        <v>#N/A</v>
      </c>
    </row>
    <row r="342">
      <c r="K342" s="52" t="str">
        <f>VLOOKUP(F342,PAGO1,7,FALSE)</f>
        <v>#N/A</v>
      </c>
      <c r="L342" s="52" t="str">
        <f>VLOOKUP(I342,PAGO2,5,FALSE)</f>
        <v>#N/A</v>
      </c>
      <c r="M342" s="52" t="str">
        <f>VLOOKUP(I342,PAGO3,5,FALSE)</f>
        <v>#N/A</v>
      </c>
      <c r="P342" s="52" t="str">
        <f>VLOOKUP(I342,RANGOPAGOS6,7,FALSE)</f>
        <v>#N/A</v>
      </c>
      <c r="Z342" s="52" t="str">
        <f t="shared" si="1"/>
        <v>#N/A</v>
      </c>
    </row>
    <row r="343">
      <c r="K343" s="52" t="str">
        <f>VLOOKUP(F343,PAGO1,7,FALSE)</f>
        <v>#N/A</v>
      </c>
      <c r="L343" s="52" t="str">
        <f>VLOOKUP(I343,PAGO2,5,FALSE)</f>
        <v>#N/A</v>
      </c>
      <c r="M343" s="52" t="str">
        <f>VLOOKUP(I343,PAGO3,5,FALSE)</f>
        <v>#N/A</v>
      </c>
      <c r="P343" s="52" t="str">
        <f>VLOOKUP(I343,RANGOPAGOS6,7,FALSE)</f>
        <v>#N/A</v>
      </c>
      <c r="Z343" s="52" t="str">
        <f t="shared" si="1"/>
        <v>#N/A</v>
      </c>
    </row>
    <row r="344">
      <c r="K344" s="52" t="str">
        <f>VLOOKUP(F344,PAGO1,7,FALSE)</f>
        <v>#N/A</v>
      </c>
      <c r="L344" s="52" t="str">
        <f>VLOOKUP(I344,PAGO2,5,FALSE)</f>
        <v>#N/A</v>
      </c>
      <c r="M344" s="52" t="str">
        <f>VLOOKUP(I344,PAGO3,5,FALSE)</f>
        <v>#N/A</v>
      </c>
      <c r="P344" s="52" t="str">
        <f>VLOOKUP(I344,RANGOPAGOS6,7,FALSE)</f>
        <v>#N/A</v>
      </c>
      <c r="Z344" s="52" t="str">
        <f t="shared" si="1"/>
        <v>#N/A</v>
      </c>
    </row>
    <row r="345">
      <c r="K345" s="52" t="str">
        <f>VLOOKUP(F345,PAGO1,7,FALSE)</f>
        <v>#N/A</v>
      </c>
      <c r="L345" s="52" t="str">
        <f>VLOOKUP(I345,PAGO2,5,FALSE)</f>
        <v>#N/A</v>
      </c>
      <c r="M345" s="52" t="str">
        <f>VLOOKUP(I345,PAGO3,5,FALSE)</f>
        <v>#N/A</v>
      </c>
      <c r="P345" s="52" t="str">
        <f>VLOOKUP(I345,RANGOPAGOS6,7,FALSE)</f>
        <v>#N/A</v>
      </c>
      <c r="Z345" s="52" t="str">
        <f t="shared" si="1"/>
        <v>#N/A</v>
      </c>
    </row>
    <row r="346">
      <c r="K346" s="52" t="str">
        <f>VLOOKUP(F346,PAGO1,7,FALSE)</f>
        <v>#N/A</v>
      </c>
      <c r="L346" s="52" t="str">
        <f>VLOOKUP(I346,PAGO2,5,FALSE)</f>
        <v>#N/A</v>
      </c>
      <c r="M346" s="52" t="str">
        <f>VLOOKUP(I346,PAGO3,5,FALSE)</f>
        <v>#N/A</v>
      </c>
      <c r="P346" s="52" t="str">
        <f>VLOOKUP(I346,RANGOPAGOS6,7,FALSE)</f>
        <v>#N/A</v>
      </c>
      <c r="Z346" s="52" t="str">
        <f t="shared" si="1"/>
        <v>#N/A</v>
      </c>
    </row>
    <row r="347">
      <c r="K347" s="52" t="str">
        <f>VLOOKUP(F347,PAGO1,7,FALSE)</f>
        <v>#N/A</v>
      </c>
      <c r="L347" s="52" t="str">
        <f>VLOOKUP(I347,PAGO2,5,FALSE)</f>
        <v>#N/A</v>
      </c>
      <c r="M347" s="52" t="str">
        <f>VLOOKUP(I347,PAGO3,5,FALSE)</f>
        <v>#N/A</v>
      </c>
      <c r="P347" s="52" t="str">
        <f>VLOOKUP(I347,RANGOPAGOS6,7,FALSE)</f>
        <v>#N/A</v>
      </c>
      <c r="Z347" s="52" t="str">
        <f t="shared" si="1"/>
        <v>#N/A</v>
      </c>
    </row>
    <row r="348">
      <c r="K348" s="52" t="str">
        <f>VLOOKUP(F348,PAGO1,7,FALSE)</f>
        <v>#N/A</v>
      </c>
      <c r="L348" s="52" t="str">
        <f>VLOOKUP(I348,PAGO2,5,FALSE)</f>
        <v>#N/A</v>
      </c>
      <c r="M348" s="52" t="str">
        <f>VLOOKUP(I348,PAGO3,5,FALSE)</f>
        <v>#N/A</v>
      </c>
      <c r="P348" s="52" t="str">
        <f>VLOOKUP(I348,RANGOPAGOS6,7,FALSE)</f>
        <v>#N/A</v>
      </c>
      <c r="Z348" s="52" t="str">
        <f t="shared" si="1"/>
        <v>#N/A</v>
      </c>
    </row>
    <row r="349">
      <c r="K349" s="52" t="str">
        <f>VLOOKUP(F349,PAGO1,7,FALSE)</f>
        <v>#N/A</v>
      </c>
      <c r="L349" s="52" t="str">
        <f>VLOOKUP(I349,PAGO2,5,FALSE)</f>
        <v>#N/A</v>
      </c>
      <c r="M349" s="52" t="str">
        <f>VLOOKUP(I349,PAGO3,5,FALSE)</f>
        <v>#N/A</v>
      </c>
      <c r="P349" s="52" t="str">
        <f>VLOOKUP(I349,RANGOPAGOS6,7,FALSE)</f>
        <v>#N/A</v>
      </c>
      <c r="Z349" s="52" t="str">
        <f t="shared" si="1"/>
        <v>#N/A</v>
      </c>
    </row>
    <row r="350">
      <c r="K350" s="52" t="str">
        <f>VLOOKUP(F350,PAGO1,7,FALSE)</f>
        <v>#N/A</v>
      </c>
      <c r="L350" s="52" t="str">
        <f>VLOOKUP(I350,PAGO2,5,FALSE)</f>
        <v>#N/A</v>
      </c>
      <c r="M350" s="52" t="str">
        <f>VLOOKUP(I350,PAGO3,5,FALSE)</f>
        <v>#N/A</v>
      </c>
      <c r="P350" s="52" t="str">
        <f>VLOOKUP(I350,RANGOPAGOS6,7,FALSE)</f>
        <v>#N/A</v>
      </c>
      <c r="Z350" s="52" t="str">
        <f t="shared" si="1"/>
        <v>#N/A</v>
      </c>
    </row>
    <row r="351">
      <c r="K351" s="52" t="str">
        <f>VLOOKUP(F351,PAGO1,7,FALSE)</f>
        <v>#N/A</v>
      </c>
      <c r="L351" s="52" t="str">
        <f>VLOOKUP(I351,PAGO2,5,FALSE)</f>
        <v>#N/A</v>
      </c>
      <c r="M351" s="52" t="str">
        <f>VLOOKUP(I351,PAGO3,5,FALSE)</f>
        <v>#N/A</v>
      </c>
      <c r="P351" s="52" t="str">
        <f>VLOOKUP(I351,RANGOPAGOS6,7,FALSE)</f>
        <v>#N/A</v>
      </c>
      <c r="Z351" s="52" t="str">
        <f t="shared" si="1"/>
        <v>#N/A</v>
      </c>
    </row>
    <row r="352">
      <c r="K352" s="52" t="str">
        <f>VLOOKUP(F352,PAGO1,7,FALSE)</f>
        <v>#N/A</v>
      </c>
      <c r="L352" s="52" t="str">
        <f>VLOOKUP(I352,PAGO2,5,FALSE)</f>
        <v>#N/A</v>
      </c>
      <c r="M352" s="52" t="str">
        <f>VLOOKUP(I352,PAGO3,5,FALSE)</f>
        <v>#N/A</v>
      </c>
      <c r="P352" s="52" t="str">
        <f>VLOOKUP(I352,RANGOPAGOS6,7,FALSE)</f>
        <v>#N/A</v>
      </c>
      <c r="Z352" s="52" t="str">
        <f t="shared" si="1"/>
        <v>#N/A</v>
      </c>
    </row>
    <row r="353">
      <c r="K353" s="52" t="str">
        <f>VLOOKUP(F353,PAGO1,7,FALSE)</f>
        <v>#N/A</v>
      </c>
      <c r="L353" s="52" t="str">
        <f>VLOOKUP(I353,PAGO2,5,FALSE)</f>
        <v>#N/A</v>
      </c>
      <c r="M353" s="52" t="str">
        <f>VLOOKUP(I353,PAGO3,5,FALSE)</f>
        <v>#N/A</v>
      </c>
      <c r="P353" s="52" t="str">
        <f>VLOOKUP(I353,RANGOPAGOS6,7,FALSE)</f>
        <v>#N/A</v>
      </c>
      <c r="Z353" s="52" t="str">
        <f t="shared" si="1"/>
        <v>#N/A</v>
      </c>
    </row>
    <row r="354">
      <c r="K354" s="52" t="str">
        <f>VLOOKUP(F354,PAGO1,7,FALSE)</f>
        <v>#N/A</v>
      </c>
      <c r="L354" s="52" t="str">
        <f>VLOOKUP(I354,PAGO2,5,FALSE)</f>
        <v>#N/A</v>
      </c>
      <c r="M354" s="52" t="str">
        <f>VLOOKUP(I354,PAGO3,5,FALSE)</f>
        <v>#N/A</v>
      </c>
      <c r="P354" s="52" t="str">
        <f>VLOOKUP(I354,RANGOPAGOS6,7,FALSE)</f>
        <v>#N/A</v>
      </c>
      <c r="Z354" s="52" t="str">
        <f t="shared" si="1"/>
        <v>#N/A</v>
      </c>
    </row>
    <row r="355">
      <c r="K355" s="52" t="str">
        <f>VLOOKUP(F355,PAGO1,7,FALSE)</f>
        <v>#N/A</v>
      </c>
      <c r="L355" s="52" t="str">
        <f>VLOOKUP(I355,PAGO2,5,FALSE)</f>
        <v>#N/A</v>
      </c>
      <c r="M355" s="52" t="str">
        <f>VLOOKUP(I355,PAGO3,5,FALSE)</f>
        <v>#N/A</v>
      </c>
      <c r="P355" s="52" t="str">
        <f>VLOOKUP(I355,RANGOPAGOS6,7,FALSE)</f>
        <v>#N/A</v>
      </c>
      <c r="Z355" s="52" t="str">
        <f t="shared" si="1"/>
        <v>#N/A</v>
      </c>
    </row>
    <row r="356">
      <c r="K356" s="52" t="str">
        <f>VLOOKUP(F356,PAGO1,7,FALSE)</f>
        <v>#N/A</v>
      </c>
      <c r="L356" s="52" t="str">
        <f>VLOOKUP(I356,PAGO2,5,FALSE)</f>
        <v>#N/A</v>
      </c>
      <c r="M356" s="52" t="str">
        <f>VLOOKUP(I356,PAGO3,5,FALSE)</f>
        <v>#N/A</v>
      </c>
      <c r="P356" s="52" t="str">
        <f>VLOOKUP(I356,RANGOPAGOS6,7,FALSE)</f>
        <v>#N/A</v>
      </c>
      <c r="Z356" s="52" t="str">
        <f t="shared" si="1"/>
        <v>#N/A</v>
      </c>
    </row>
    <row r="357">
      <c r="K357" s="52" t="str">
        <f>VLOOKUP(F357,PAGO1,7,FALSE)</f>
        <v>#N/A</v>
      </c>
      <c r="L357" s="52" t="str">
        <f>VLOOKUP(I357,PAGO2,5,FALSE)</f>
        <v>#N/A</v>
      </c>
      <c r="M357" s="52" t="str">
        <f>VLOOKUP(I357,PAGO3,5,FALSE)</f>
        <v>#N/A</v>
      </c>
      <c r="P357" s="52" t="str">
        <f>VLOOKUP(I357,RANGOPAGOS6,7,FALSE)</f>
        <v>#N/A</v>
      </c>
      <c r="Z357" s="52" t="str">
        <f t="shared" si="1"/>
        <v>#N/A</v>
      </c>
    </row>
    <row r="358">
      <c r="K358" s="52" t="str">
        <f>VLOOKUP(F358,PAGO1,7,FALSE)</f>
        <v>#N/A</v>
      </c>
      <c r="L358" s="52" t="str">
        <f>VLOOKUP(I358,PAGO2,5,FALSE)</f>
        <v>#N/A</v>
      </c>
      <c r="M358" s="52" t="str">
        <f>VLOOKUP(I358,PAGO3,5,FALSE)</f>
        <v>#N/A</v>
      </c>
      <c r="P358" s="52" t="str">
        <f>VLOOKUP(I358,RANGOPAGOS6,7,FALSE)</f>
        <v>#N/A</v>
      </c>
      <c r="Z358" s="52" t="str">
        <f t="shared" si="1"/>
        <v>#N/A</v>
      </c>
    </row>
    <row r="359">
      <c r="K359" s="52" t="str">
        <f>VLOOKUP(F359,PAGO1,7,FALSE)</f>
        <v>#N/A</v>
      </c>
      <c r="L359" s="52" t="str">
        <f>VLOOKUP(I359,PAGO2,5,FALSE)</f>
        <v>#N/A</v>
      </c>
      <c r="M359" s="52" t="str">
        <f>VLOOKUP(I359,PAGO3,5,FALSE)</f>
        <v>#N/A</v>
      </c>
      <c r="P359" s="52" t="str">
        <f>VLOOKUP(I359,RANGOPAGOS6,7,FALSE)</f>
        <v>#N/A</v>
      </c>
      <c r="Z359" s="52" t="str">
        <f t="shared" si="1"/>
        <v>#N/A</v>
      </c>
    </row>
    <row r="360">
      <c r="K360" s="52" t="str">
        <f>VLOOKUP(F360,PAGO1,7,FALSE)</f>
        <v>#N/A</v>
      </c>
      <c r="L360" s="52" t="str">
        <f>VLOOKUP(I360,PAGO2,5,FALSE)</f>
        <v>#N/A</v>
      </c>
      <c r="M360" s="52" t="str">
        <f>VLOOKUP(I360,PAGO3,5,FALSE)</f>
        <v>#N/A</v>
      </c>
      <c r="P360" s="52" t="str">
        <f>VLOOKUP(I360,RANGOPAGOS6,7,FALSE)</f>
        <v>#N/A</v>
      </c>
      <c r="Z360" s="52" t="str">
        <f t="shared" si="1"/>
        <v>#N/A</v>
      </c>
    </row>
    <row r="361">
      <c r="K361" s="52" t="str">
        <f>VLOOKUP(F361,PAGO1,7,FALSE)</f>
        <v>#N/A</v>
      </c>
      <c r="L361" s="52" t="str">
        <f>VLOOKUP(I361,PAGO2,5,FALSE)</f>
        <v>#N/A</v>
      </c>
      <c r="M361" s="52" t="str">
        <f>VLOOKUP(I361,PAGO3,5,FALSE)</f>
        <v>#N/A</v>
      </c>
      <c r="P361" s="52" t="str">
        <f>VLOOKUP(I361,RANGOPAGOS6,7,FALSE)</f>
        <v>#N/A</v>
      </c>
      <c r="Z361" s="52" t="str">
        <f t="shared" si="1"/>
        <v>#N/A</v>
      </c>
    </row>
    <row r="362">
      <c r="K362" s="52" t="str">
        <f>VLOOKUP(F362,PAGO1,7,FALSE)</f>
        <v>#N/A</v>
      </c>
      <c r="L362" s="52" t="str">
        <f>VLOOKUP(I362,PAGO2,5,FALSE)</f>
        <v>#N/A</v>
      </c>
      <c r="M362" s="52" t="str">
        <f>VLOOKUP(I362,PAGO3,5,FALSE)</f>
        <v>#N/A</v>
      </c>
      <c r="P362" s="52" t="str">
        <f>VLOOKUP(I362,RANGOPAGOS6,7,FALSE)</f>
        <v>#N/A</v>
      </c>
      <c r="Z362" s="52" t="str">
        <f t="shared" si="1"/>
        <v>#N/A</v>
      </c>
    </row>
    <row r="363">
      <c r="K363" s="52" t="str">
        <f>VLOOKUP(F363,PAGO1,7,FALSE)</f>
        <v>#N/A</v>
      </c>
      <c r="L363" s="52" t="str">
        <f>VLOOKUP(I363,PAGO2,5,FALSE)</f>
        <v>#N/A</v>
      </c>
      <c r="M363" s="52" t="str">
        <f>VLOOKUP(I363,PAGO3,5,FALSE)</f>
        <v>#N/A</v>
      </c>
      <c r="P363" s="52" t="str">
        <f>VLOOKUP(I363,RANGOPAGOS6,7,FALSE)</f>
        <v>#N/A</v>
      </c>
      <c r="Z363" s="52" t="str">
        <f t="shared" si="1"/>
        <v>#N/A</v>
      </c>
    </row>
    <row r="364">
      <c r="K364" s="52" t="str">
        <f>VLOOKUP(F364,PAGO1,7,FALSE)</f>
        <v>#N/A</v>
      </c>
      <c r="L364" s="52" t="str">
        <f>VLOOKUP(I364,PAGO2,5,FALSE)</f>
        <v>#N/A</v>
      </c>
      <c r="M364" s="52" t="str">
        <f>VLOOKUP(I364,PAGO3,5,FALSE)</f>
        <v>#N/A</v>
      </c>
      <c r="P364" s="52" t="str">
        <f>VLOOKUP(I364,RANGOPAGOS6,7,FALSE)</f>
        <v>#N/A</v>
      </c>
      <c r="Z364" s="52" t="str">
        <f t="shared" si="1"/>
        <v>#N/A</v>
      </c>
    </row>
    <row r="365">
      <c r="K365" s="52" t="str">
        <f>VLOOKUP(F365,PAGO1,7,FALSE)</f>
        <v>#N/A</v>
      </c>
      <c r="L365" s="52" t="str">
        <f>VLOOKUP(I365,PAGO2,5,FALSE)</f>
        <v>#N/A</v>
      </c>
      <c r="M365" s="52" t="str">
        <f>VLOOKUP(I365,PAGO3,5,FALSE)</f>
        <v>#N/A</v>
      </c>
      <c r="P365" s="52" t="str">
        <f>VLOOKUP(I365,RANGOPAGOS6,7,FALSE)</f>
        <v>#N/A</v>
      </c>
      <c r="Z365" s="52" t="str">
        <f t="shared" si="1"/>
        <v>#N/A</v>
      </c>
    </row>
    <row r="366">
      <c r="K366" s="52" t="str">
        <f>VLOOKUP(F366,PAGO1,7,FALSE)</f>
        <v>#N/A</v>
      </c>
      <c r="L366" s="52" t="str">
        <f>VLOOKUP(I366,PAGO2,5,FALSE)</f>
        <v>#N/A</v>
      </c>
      <c r="M366" s="52" t="str">
        <f>VLOOKUP(I366,PAGO3,5,FALSE)</f>
        <v>#N/A</v>
      </c>
      <c r="P366" s="52" t="str">
        <f>VLOOKUP(I366,RANGOPAGOS6,7,FALSE)</f>
        <v>#N/A</v>
      </c>
      <c r="Z366" s="52" t="str">
        <f t="shared" si="1"/>
        <v>#N/A</v>
      </c>
    </row>
    <row r="367">
      <c r="K367" s="52" t="str">
        <f>VLOOKUP(F367,PAGO1,7,FALSE)</f>
        <v>#N/A</v>
      </c>
      <c r="L367" s="52" t="str">
        <f>VLOOKUP(I367,PAGO2,5,FALSE)</f>
        <v>#N/A</v>
      </c>
      <c r="M367" s="52" t="str">
        <f>VLOOKUP(I367,PAGO3,5,FALSE)</f>
        <v>#N/A</v>
      </c>
      <c r="P367" s="52" t="str">
        <f>VLOOKUP(I367,RANGOPAGOS6,7,FALSE)</f>
        <v>#N/A</v>
      </c>
      <c r="Z367" s="52" t="str">
        <f t="shared" si="1"/>
        <v>#N/A</v>
      </c>
    </row>
    <row r="368">
      <c r="K368" s="52" t="str">
        <f>VLOOKUP(F368,PAGO1,7,FALSE)</f>
        <v>#N/A</v>
      </c>
      <c r="L368" s="52" t="str">
        <f>VLOOKUP(I368,PAGO2,5,FALSE)</f>
        <v>#N/A</v>
      </c>
      <c r="M368" s="52" t="str">
        <f>VLOOKUP(I368,PAGO3,5,FALSE)</f>
        <v>#N/A</v>
      </c>
      <c r="P368" s="52" t="str">
        <f>VLOOKUP(I368,RANGOPAGOS6,7,FALSE)</f>
        <v>#N/A</v>
      </c>
      <c r="Z368" s="52" t="str">
        <f t="shared" si="1"/>
        <v>#N/A</v>
      </c>
    </row>
    <row r="369">
      <c r="K369" s="52" t="str">
        <f>VLOOKUP(F369,PAGO1,7,FALSE)</f>
        <v>#N/A</v>
      </c>
      <c r="L369" s="52" t="str">
        <f>VLOOKUP(I369,PAGO2,5,FALSE)</f>
        <v>#N/A</v>
      </c>
      <c r="M369" s="52" t="str">
        <f>VLOOKUP(I369,PAGO3,5,FALSE)</f>
        <v>#N/A</v>
      </c>
      <c r="P369" s="52" t="str">
        <f>VLOOKUP(I369,RANGOPAGOS6,7,FALSE)</f>
        <v>#N/A</v>
      </c>
      <c r="Z369" s="52" t="str">
        <f t="shared" si="1"/>
        <v>#N/A</v>
      </c>
    </row>
    <row r="370">
      <c r="K370" s="52" t="str">
        <f>VLOOKUP(F370,PAGO1,7,FALSE)</f>
        <v>#N/A</v>
      </c>
      <c r="L370" s="52" t="str">
        <f>VLOOKUP(I370,PAGO2,5,FALSE)</f>
        <v>#N/A</v>
      </c>
      <c r="M370" s="52" t="str">
        <f>VLOOKUP(I370,PAGO3,5,FALSE)</f>
        <v>#N/A</v>
      </c>
      <c r="P370" s="52" t="str">
        <f>VLOOKUP(I370,RANGOPAGOS6,7,FALSE)</f>
        <v>#N/A</v>
      </c>
      <c r="Z370" s="52" t="str">
        <f t="shared" si="1"/>
        <v>#N/A</v>
      </c>
    </row>
    <row r="371">
      <c r="K371" s="52" t="str">
        <f>VLOOKUP(F371,PAGO1,7,FALSE)</f>
        <v>#N/A</v>
      </c>
      <c r="L371" s="52" t="str">
        <f>VLOOKUP(I371,PAGO2,5,FALSE)</f>
        <v>#N/A</v>
      </c>
      <c r="M371" s="52" t="str">
        <f>VLOOKUP(I371,PAGO3,5,FALSE)</f>
        <v>#N/A</v>
      </c>
      <c r="P371" s="52" t="str">
        <f>VLOOKUP(I371,RANGOPAGOS6,7,FALSE)</f>
        <v>#N/A</v>
      </c>
      <c r="Z371" s="52" t="str">
        <f t="shared" si="1"/>
        <v>#N/A</v>
      </c>
    </row>
    <row r="372">
      <c r="K372" s="52" t="str">
        <f>VLOOKUP(F372,PAGO1,7,FALSE)</f>
        <v>#N/A</v>
      </c>
      <c r="L372" s="52" t="str">
        <f>VLOOKUP(I372,PAGO2,5,FALSE)</f>
        <v>#N/A</v>
      </c>
      <c r="M372" s="52" t="str">
        <f>VLOOKUP(I372,PAGO3,5,FALSE)</f>
        <v>#N/A</v>
      </c>
      <c r="P372" s="52" t="str">
        <f>VLOOKUP(I372,RANGOPAGOS6,7,FALSE)</f>
        <v>#N/A</v>
      </c>
      <c r="Z372" s="52" t="str">
        <f t="shared" si="1"/>
        <v>#N/A</v>
      </c>
    </row>
    <row r="373">
      <c r="K373" s="52" t="str">
        <f>VLOOKUP(F373,PAGO1,7,FALSE)</f>
        <v>#N/A</v>
      </c>
      <c r="L373" s="52" t="str">
        <f>VLOOKUP(I373,PAGO2,5,FALSE)</f>
        <v>#N/A</v>
      </c>
      <c r="M373" s="52" t="str">
        <f>VLOOKUP(I373,PAGO3,5,FALSE)</f>
        <v>#N/A</v>
      </c>
      <c r="P373" s="52" t="str">
        <f>VLOOKUP(I373,RANGOPAGOS6,7,FALSE)</f>
        <v>#N/A</v>
      </c>
      <c r="Z373" s="52" t="str">
        <f t="shared" si="1"/>
        <v>#N/A</v>
      </c>
    </row>
    <row r="374">
      <c r="K374" s="52" t="str">
        <f>VLOOKUP(F374,PAGO1,7,FALSE)</f>
        <v>#N/A</v>
      </c>
      <c r="L374" s="52" t="str">
        <f>VLOOKUP(I374,PAGO2,5,FALSE)</f>
        <v>#N/A</v>
      </c>
      <c r="M374" s="52" t="str">
        <f>VLOOKUP(I374,PAGO3,5,FALSE)</f>
        <v>#N/A</v>
      </c>
      <c r="P374" s="52" t="str">
        <f>VLOOKUP(I374,RANGOPAGOS6,7,FALSE)</f>
        <v>#N/A</v>
      </c>
      <c r="Z374" s="52" t="str">
        <f t="shared" si="1"/>
        <v>#N/A</v>
      </c>
    </row>
    <row r="375">
      <c r="K375" s="52" t="str">
        <f>VLOOKUP(F375,PAGO1,7,FALSE)</f>
        <v>#N/A</v>
      </c>
      <c r="L375" s="52" t="str">
        <f>VLOOKUP(I375,PAGO2,5,FALSE)</f>
        <v>#N/A</v>
      </c>
      <c r="M375" s="52" t="str">
        <f>VLOOKUP(I375,PAGO3,5,FALSE)</f>
        <v>#N/A</v>
      </c>
      <c r="P375" s="52" t="str">
        <f>VLOOKUP(I375,RANGOPAGOS6,7,FALSE)</f>
        <v>#N/A</v>
      </c>
      <c r="Z375" s="52" t="str">
        <f t="shared" si="1"/>
        <v>#N/A</v>
      </c>
    </row>
    <row r="376">
      <c r="K376" s="52" t="str">
        <f>VLOOKUP(F376,PAGO1,7,FALSE)</f>
        <v>#N/A</v>
      </c>
      <c r="L376" s="52" t="str">
        <f>VLOOKUP(I376,PAGO2,5,FALSE)</f>
        <v>#N/A</v>
      </c>
      <c r="M376" s="52" t="str">
        <f>VLOOKUP(I376,PAGO3,5,FALSE)</f>
        <v>#N/A</v>
      </c>
      <c r="P376" s="52" t="str">
        <f>VLOOKUP(I376,RANGOPAGOS6,7,FALSE)</f>
        <v>#N/A</v>
      </c>
      <c r="Z376" s="52" t="str">
        <f t="shared" si="1"/>
        <v>#N/A</v>
      </c>
    </row>
    <row r="377">
      <c r="K377" s="52" t="str">
        <f>VLOOKUP(F377,PAGO1,7,FALSE)</f>
        <v>#N/A</v>
      </c>
      <c r="L377" s="52" t="str">
        <f>VLOOKUP(I377,PAGO2,5,FALSE)</f>
        <v>#N/A</v>
      </c>
      <c r="M377" s="52" t="str">
        <f>VLOOKUP(I377,PAGO3,5,FALSE)</f>
        <v>#N/A</v>
      </c>
      <c r="P377" s="52" t="str">
        <f>VLOOKUP(I377,RANGOPAGOS6,7,FALSE)</f>
        <v>#N/A</v>
      </c>
      <c r="Z377" s="52" t="str">
        <f t="shared" si="1"/>
        <v>#N/A</v>
      </c>
    </row>
    <row r="378">
      <c r="K378" s="52" t="str">
        <f>VLOOKUP(F378,PAGO1,7,FALSE)</f>
        <v>#N/A</v>
      </c>
      <c r="L378" s="52" t="str">
        <f>VLOOKUP(I378,PAGO2,5,FALSE)</f>
        <v>#N/A</v>
      </c>
      <c r="M378" s="52" t="str">
        <f>VLOOKUP(I378,PAGO3,5,FALSE)</f>
        <v>#N/A</v>
      </c>
      <c r="P378" s="52" t="str">
        <f>VLOOKUP(I378,RANGOPAGOS6,7,FALSE)</f>
        <v>#N/A</v>
      </c>
      <c r="Z378" s="52" t="str">
        <f t="shared" si="1"/>
        <v>#N/A</v>
      </c>
    </row>
    <row r="379">
      <c r="K379" s="52" t="str">
        <f>VLOOKUP(F379,PAGO1,7,FALSE)</f>
        <v>#N/A</v>
      </c>
      <c r="L379" s="52" t="str">
        <f>VLOOKUP(I379,PAGO2,5,FALSE)</f>
        <v>#N/A</v>
      </c>
      <c r="M379" s="52" t="str">
        <f>VLOOKUP(I379,PAGO3,5,FALSE)</f>
        <v>#N/A</v>
      </c>
      <c r="P379" s="52" t="str">
        <f>VLOOKUP(I379,RANGOPAGOS6,7,FALSE)</f>
        <v>#N/A</v>
      </c>
      <c r="Z379" s="52" t="str">
        <f t="shared" si="1"/>
        <v>#N/A</v>
      </c>
    </row>
    <row r="380">
      <c r="K380" s="52" t="str">
        <f>VLOOKUP(F380,PAGO1,7,FALSE)</f>
        <v>#N/A</v>
      </c>
      <c r="L380" s="52" t="str">
        <f>VLOOKUP(I380,PAGO2,5,FALSE)</f>
        <v>#N/A</v>
      </c>
      <c r="M380" s="52" t="str">
        <f>VLOOKUP(I380,PAGO3,5,FALSE)</f>
        <v>#N/A</v>
      </c>
      <c r="P380" s="52" t="str">
        <f>VLOOKUP(I380,RANGOPAGOS6,7,FALSE)</f>
        <v>#N/A</v>
      </c>
      <c r="Z380" s="52" t="str">
        <f t="shared" si="1"/>
        <v>#N/A</v>
      </c>
    </row>
    <row r="381">
      <c r="K381" s="52" t="str">
        <f>VLOOKUP(F381,PAGO1,7,FALSE)</f>
        <v>#N/A</v>
      </c>
      <c r="L381" s="52" t="str">
        <f>VLOOKUP(I381,PAGO2,5,FALSE)</f>
        <v>#N/A</v>
      </c>
      <c r="M381" s="52" t="str">
        <f>VLOOKUP(I381,PAGO3,5,FALSE)</f>
        <v>#N/A</v>
      </c>
      <c r="P381" s="52" t="str">
        <f>VLOOKUP(I381,RANGOPAGOS6,7,FALSE)</f>
        <v>#N/A</v>
      </c>
      <c r="Z381" s="52" t="str">
        <f t="shared" si="1"/>
        <v>#N/A</v>
      </c>
    </row>
    <row r="382">
      <c r="K382" s="52" t="str">
        <f>VLOOKUP(F382,PAGO1,7,FALSE)</f>
        <v>#N/A</v>
      </c>
      <c r="L382" s="52" t="str">
        <f>VLOOKUP(I382,PAGO2,5,FALSE)</f>
        <v>#N/A</v>
      </c>
      <c r="M382" s="52" t="str">
        <f>VLOOKUP(I382,PAGO3,5,FALSE)</f>
        <v>#N/A</v>
      </c>
      <c r="P382" s="52" t="str">
        <f>VLOOKUP(I382,RANGOPAGOS6,7,FALSE)</f>
        <v>#N/A</v>
      </c>
      <c r="Z382" s="52" t="str">
        <f t="shared" si="1"/>
        <v>#N/A</v>
      </c>
    </row>
    <row r="383">
      <c r="K383" s="52" t="str">
        <f>VLOOKUP(F383,PAGO1,7,FALSE)</f>
        <v>#N/A</v>
      </c>
      <c r="L383" s="52" t="str">
        <f>VLOOKUP(I383,PAGO2,5,FALSE)</f>
        <v>#N/A</v>
      </c>
      <c r="M383" s="52" t="str">
        <f>VLOOKUP(I383,PAGO3,5,FALSE)</f>
        <v>#N/A</v>
      </c>
      <c r="P383" s="52" t="str">
        <f>VLOOKUP(I383,RANGOPAGOS6,7,FALSE)</f>
        <v>#N/A</v>
      </c>
      <c r="Z383" s="52" t="str">
        <f t="shared" si="1"/>
        <v>#N/A</v>
      </c>
    </row>
    <row r="384">
      <c r="K384" s="52" t="str">
        <f>VLOOKUP(F384,PAGO1,7,FALSE)</f>
        <v>#N/A</v>
      </c>
      <c r="L384" s="52" t="str">
        <f>VLOOKUP(I384,PAGO2,5,FALSE)</f>
        <v>#N/A</v>
      </c>
      <c r="M384" s="52" t="str">
        <f>VLOOKUP(I384,PAGO3,5,FALSE)</f>
        <v>#N/A</v>
      </c>
      <c r="P384" s="52" t="str">
        <f>VLOOKUP(I384,RANGOPAGOS6,7,FALSE)</f>
        <v>#N/A</v>
      </c>
      <c r="Z384" s="52" t="str">
        <f t="shared" si="1"/>
        <v>#N/A</v>
      </c>
    </row>
    <row r="385">
      <c r="K385" s="52" t="str">
        <f>VLOOKUP(F385,PAGO1,7,FALSE)</f>
        <v>#N/A</v>
      </c>
      <c r="L385" s="52" t="str">
        <f>VLOOKUP(I385,PAGO2,5,FALSE)</f>
        <v>#N/A</v>
      </c>
      <c r="M385" s="52" t="str">
        <f>VLOOKUP(I385,PAGO3,5,FALSE)</f>
        <v>#N/A</v>
      </c>
      <c r="P385" s="52" t="str">
        <f>VLOOKUP(I385,RANGOPAGOS6,7,FALSE)</f>
        <v>#N/A</v>
      </c>
      <c r="Z385" s="52" t="str">
        <f t="shared" si="1"/>
        <v>#N/A</v>
      </c>
    </row>
    <row r="386">
      <c r="K386" s="52" t="str">
        <f>VLOOKUP(F386,PAGO1,7,FALSE)</f>
        <v>#N/A</v>
      </c>
      <c r="L386" s="52" t="str">
        <f>VLOOKUP(I386,PAGO2,5,FALSE)</f>
        <v>#N/A</v>
      </c>
      <c r="M386" s="52" t="str">
        <f>VLOOKUP(I386,PAGO3,5,FALSE)</f>
        <v>#N/A</v>
      </c>
      <c r="P386" s="52" t="str">
        <f>VLOOKUP(I386,RANGOPAGOS6,7,FALSE)</f>
        <v>#N/A</v>
      </c>
      <c r="Z386" s="52" t="str">
        <f t="shared" si="1"/>
        <v>#N/A</v>
      </c>
    </row>
    <row r="387">
      <c r="K387" s="52" t="str">
        <f>VLOOKUP(F387,PAGO1,7,FALSE)</f>
        <v>#N/A</v>
      </c>
      <c r="L387" s="52" t="str">
        <f>VLOOKUP(I387,PAGO2,5,FALSE)</f>
        <v>#N/A</v>
      </c>
      <c r="M387" s="52" t="str">
        <f>VLOOKUP(I387,PAGO3,5,FALSE)</f>
        <v>#N/A</v>
      </c>
      <c r="P387" s="52" t="str">
        <f>VLOOKUP(I387,RANGOPAGOS6,7,FALSE)</f>
        <v>#N/A</v>
      </c>
      <c r="Z387" s="52" t="str">
        <f t="shared" si="1"/>
        <v>#N/A</v>
      </c>
    </row>
    <row r="388">
      <c r="K388" s="52" t="str">
        <f>VLOOKUP(F388,PAGO1,7,FALSE)</f>
        <v>#N/A</v>
      </c>
      <c r="L388" s="52" t="str">
        <f>VLOOKUP(I388,PAGO2,5,FALSE)</f>
        <v>#N/A</v>
      </c>
      <c r="M388" s="52" t="str">
        <f>VLOOKUP(I388,PAGO3,5,FALSE)</f>
        <v>#N/A</v>
      </c>
      <c r="P388" s="52" t="str">
        <f>VLOOKUP(I388,RANGOPAGOS6,7,FALSE)</f>
        <v>#N/A</v>
      </c>
      <c r="Z388" s="52" t="str">
        <f t="shared" si="1"/>
        <v>#N/A</v>
      </c>
    </row>
    <row r="389">
      <c r="K389" s="52" t="str">
        <f>VLOOKUP(F389,PAGO1,7,FALSE)</f>
        <v>#N/A</v>
      </c>
      <c r="L389" s="52" t="str">
        <f>VLOOKUP(I389,PAGO2,5,FALSE)</f>
        <v>#N/A</v>
      </c>
      <c r="M389" s="52" t="str">
        <f>VLOOKUP(I389,PAGO3,5,FALSE)</f>
        <v>#N/A</v>
      </c>
      <c r="P389" s="52" t="str">
        <f>VLOOKUP(I389,RANGOPAGOS6,7,FALSE)</f>
        <v>#N/A</v>
      </c>
      <c r="Z389" s="52" t="str">
        <f t="shared" si="1"/>
        <v>#N/A</v>
      </c>
    </row>
    <row r="390">
      <c r="K390" s="52" t="str">
        <f>VLOOKUP(F390,PAGO1,7,FALSE)</f>
        <v>#N/A</v>
      </c>
      <c r="L390" s="52" t="str">
        <f>VLOOKUP(I390,PAGO2,5,FALSE)</f>
        <v>#N/A</v>
      </c>
      <c r="M390" s="52" t="str">
        <f>VLOOKUP(I390,PAGO3,5,FALSE)</f>
        <v>#N/A</v>
      </c>
      <c r="P390" s="52" t="str">
        <f>VLOOKUP(I390,RANGOPAGOS6,7,FALSE)</f>
        <v>#N/A</v>
      </c>
      <c r="Z390" s="52" t="str">
        <f t="shared" si="1"/>
        <v>#N/A</v>
      </c>
    </row>
    <row r="391">
      <c r="K391" s="52" t="str">
        <f>VLOOKUP(F391,PAGO1,7,FALSE)</f>
        <v>#N/A</v>
      </c>
      <c r="L391" s="52" t="str">
        <f>VLOOKUP(I391,PAGO2,5,FALSE)</f>
        <v>#N/A</v>
      </c>
      <c r="M391" s="52" t="str">
        <f>VLOOKUP(I391,PAGO3,5,FALSE)</f>
        <v>#N/A</v>
      </c>
      <c r="P391" s="52" t="str">
        <f>VLOOKUP(I391,RANGOPAGOS6,7,FALSE)</f>
        <v>#N/A</v>
      </c>
      <c r="Z391" s="52" t="str">
        <f t="shared" si="1"/>
        <v>#N/A</v>
      </c>
    </row>
    <row r="392">
      <c r="K392" s="52" t="str">
        <f>VLOOKUP(F392,PAGO1,7,FALSE)</f>
        <v>#N/A</v>
      </c>
      <c r="L392" s="52" t="str">
        <f>VLOOKUP(I392,PAGO2,5,FALSE)</f>
        <v>#N/A</v>
      </c>
      <c r="M392" s="52" t="str">
        <f>VLOOKUP(I392,PAGO3,5,FALSE)</f>
        <v>#N/A</v>
      </c>
      <c r="P392" s="52" t="str">
        <f>VLOOKUP(I392,RANGOPAGOS6,7,FALSE)</f>
        <v>#N/A</v>
      </c>
      <c r="Z392" s="52" t="str">
        <f t="shared" si="1"/>
        <v>#N/A</v>
      </c>
    </row>
    <row r="393">
      <c r="K393" s="52" t="str">
        <f>VLOOKUP(F393,PAGO1,7,FALSE)</f>
        <v>#N/A</v>
      </c>
      <c r="L393" s="52" t="str">
        <f>VLOOKUP(I393,PAGO2,5,FALSE)</f>
        <v>#N/A</v>
      </c>
      <c r="M393" s="52" t="str">
        <f>VLOOKUP(I393,PAGO3,5,FALSE)</f>
        <v>#N/A</v>
      </c>
      <c r="P393" s="52" t="str">
        <f>VLOOKUP(I393,RANGOPAGOS6,7,FALSE)</f>
        <v>#N/A</v>
      </c>
      <c r="Z393" s="52" t="str">
        <f t="shared" si="1"/>
        <v>#N/A</v>
      </c>
    </row>
    <row r="394">
      <c r="K394" s="52" t="str">
        <f>VLOOKUP(F394,PAGO1,7,FALSE)</f>
        <v>#N/A</v>
      </c>
      <c r="L394" s="52" t="str">
        <f>VLOOKUP(I394,PAGO2,5,FALSE)</f>
        <v>#N/A</v>
      </c>
      <c r="M394" s="52" t="str">
        <f>VLOOKUP(I394,PAGO3,5,FALSE)</f>
        <v>#N/A</v>
      </c>
      <c r="P394" s="52" t="str">
        <f>VLOOKUP(I394,RANGOPAGOS6,7,FALSE)</f>
        <v>#N/A</v>
      </c>
      <c r="Z394" s="52" t="str">
        <f t="shared" si="1"/>
        <v>#N/A</v>
      </c>
    </row>
    <row r="395">
      <c r="K395" s="52" t="str">
        <f>VLOOKUP(F395,PAGO1,7,FALSE)</f>
        <v>#N/A</v>
      </c>
      <c r="L395" s="52" t="str">
        <f>VLOOKUP(I395,PAGO2,5,FALSE)</f>
        <v>#N/A</v>
      </c>
      <c r="M395" s="52" t="str">
        <f>VLOOKUP(I395,PAGO3,5,FALSE)</f>
        <v>#N/A</v>
      </c>
      <c r="P395" s="52" t="str">
        <f>VLOOKUP(I395,RANGOPAGOS6,7,FALSE)</f>
        <v>#N/A</v>
      </c>
      <c r="Z395" s="52" t="str">
        <f t="shared" si="1"/>
        <v>#N/A</v>
      </c>
    </row>
    <row r="396">
      <c r="K396" s="52" t="str">
        <f>VLOOKUP(F396,PAGO1,7,FALSE)</f>
        <v>#N/A</v>
      </c>
      <c r="L396" s="52" t="str">
        <f>VLOOKUP(I396,PAGO2,5,FALSE)</f>
        <v>#N/A</v>
      </c>
      <c r="M396" s="52" t="str">
        <f>VLOOKUP(I396,PAGO3,5,FALSE)</f>
        <v>#N/A</v>
      </c>
      <c r="P396" s="52" t="str">
        <f>VLOOKUP(I396,RANGOPAGOS6,7,FALSE)</f>
        <v>#N/A</v>
      </c>
      <c r="Z396" s="52" t="str">
        <f t="shared" si="1"/>
        <v>#N/A</v>
      </c>
    </row>
    <row r="397">
      <c r="K397" s="52" t="str">
        <f>VLOOKUP(F397,PAGO1,7,FALSE)</f>
        <v>#N/A</v>
      </c>
      <c r="L397" s="52" t="str">
        <f>VLOOKUP(I397,PAGO2,5,FALSE)</f>
        <v>#N/A</v>
      </c>
      <c r="M397" s="52" t="str">
        <f>VLOOKUP(I397,PAGO3,5,FALSE)</f>
        <v>#N/A</v>
      </c>
      <c r="P397" s="52" t="str">
        <f>VLOOKUP(I397,RANGOPAGOS6,7,FALSE)</f>
        <v>#N/A</v>
      </c>
      <c r="Z397" s="52" t="str">
        <f t="shared" si="1"/>
        <v>#N/A</v>
      </c>
    </row>
    <row r="398">
      <c r="K398" s="52" t="str">
        <f>VLOOKUP(F398,PAGO1,7,FALSE)</f>
        <v>#N/A</v>
      </c>
      <c r="L398" s="52" t="str">
        <f>VLOOKUP(I398,PAGO2,5,FALSE)</f>
        <v>#N/A</v>
      </c>
      <c r="M398" s="52" t="str">
        <f>VLOOKUP(I398,PAGO3,5,FALSE)</f>
        <v>#N/A</v>
      </c>
      <c r="P398" s="52" t="str">
        <f>VLOOKUP(I398,RANGOPAGOS6,7,FALSE)</f>
        <v>#N/A</v>
      </c>
      <c r="Z398" s="52" t="str">
        <f t="shared" si="1"/>
        <v>#N/A</v>
      </c>
    </row>
    <row r="399">
      <c r="K399" s="52" t="str">
        <f>VLOOKUP(F399,PAGO1,7,FALSE)</f>
        <v>#N/A</v>
      </c>
      <c r="L399" s="52" t="str">
        <f>VLOOKUP(I399,PAGO2,5,FALSE)</f>
        <v>#N/A</v>
      </c>
      <c r="P399" s="52" t="str">
        <f>VLOOKUP(I399,RANGOPAGOS6,7,FALSE)</f>
        <v>#N/A</v>
      </c>
      <c r="Z399" s="52" t="str">
        <f t="shared" si="1"/>
        <v>#N/A</v>
      </c>
    </row>
    <row r="400">
      <c r="K400" s="52" t="str">
        <f>VLOOKUP(F400,PAGO1,7,FALSE)</f>
        <v>#N/A</v>
      </c>
      <c r="L400" s="52" t="str">
        <f>VLOOKUP(I400,PAGO2,5,FALSE)</f>
        <v>#N/A</v>
      </c>
      <c r="P400" s="52" t="str">
        <f>VLOOKUP(I400,RANGOPAGOS6,7,FALSE)</f>
        <v>#N/A</v>
      </c>
      <c r="Z400" s="52" t="str">
        <f t="shared" si="1"/>
        <v>#N/A</v>
      </c>
    </row>
    <row r="401">
      <c r="K401" s="52" t="str">
        <f>VLOOKUP(F401,PAGO1,7,FALSE)</f>
        <v>#N/A</v>
      </c>
      <c r="P401" s="52" t="str">
        <f>VLOOKUP(I401,RANGOPAGOS6,7,FALSE)</f>
        <v>#N/A</v>
      </c>
      <c r="Z401" s="52" t="str">
        <f t="shared" si="1"/>
        <v>#N/A</v>
      </c>
    </row>
    <row r="402">
      <c r="K402" s="52" t="str">
        <f>VLOOKUP(F402,PAGO1,7,FALSE)</f>
        <v>#N/A</v>
      </c>
      <c r="P402" s="52" t="str">
        <f>VLOOKUP(I402,RANGOPAGOS6,7,FALSE)</f>
        <v>#N/A</v>
      </c>
      <c r="Z402" s="52" t="str">
        <f t="shared" si="1"/>
        <v>#N/A</v>
      </c>
    </row>
    <row r="403">
      <c r="K403" s="52" t="str">
        <f>VLOOKUP(F403,PAGO1,7,FALSE)</f>
        <v>#N/A</v>
      </c>
      <c r="P403" s="52" t="str">
        <f>VLOOKUP(I403,RANGOPAGOS6,7,FALSE)</f>
        <v>#N/A</v>
      </c>
      <c r="Z403" s="52" t="str">
        <f t="shared" si="1"/>
        <v>#N/A</v>
      </c>
    </row>
    <row r="404">
      <c r="K404" s="52" t="str">
        <f>VLOOKUP(F404,PAGO1,7,FALSE)</f>
        <v>#N/A</v>
      </c>
      <c r="P404" s="52" t="str">
        <f>VLOOKUP(I404,RANGOPAGOS6,7,FALSE)</f>
        <v>#N/A</v>
      </c>
      <c r="Z404" s="52" t="str">
        <f t="shared" si="1"/>
        <v>#N/A</v>
      </c>
    </row>
    <row r="405">
      <c r="K405" s="52" t="str">
        <f>VLOOKUP(F405,PAGO1,7,FALSE)</f>
        <v>#N/A</v>
      </c>
      <c r="P405" s="52" t="str">
        <f>VLOOKUP(I405,RANGOPAGOS6,7,FALSE)</f>
        <v>#N/A</v>
      </c>
      <c r="Z405" s="52" t="str">
        <f t="shared" si="1"/>
        <v>#N/A</v>
      </c>
    </row>
    <row r="406">
      <c r="K406" s="52" t="str">
        <f>VLOOKUP(F406,PAGO1,7,FALSE)</f>
        <v>#N/A</v>
      </c>
      <c r="P406" s="52" t="str">
        <f>VLOOKUP(I406,RANGOPAGOS6,7,FALSE)</f>
        <v>#N/A</v>
      </c>
      <c r="Z406" s="52" t="str">
        <f t="shared" si="1"/>
        <v>#N/A</v>
      </c>
    </row>
    <row r="407">
      <c r="K407" s="52" t="str">
        <f>VLOOKUP(F407,PAGO1,7,FALSE)</f>
        <v>#N/A</v>
      </c>
      <c r="P407" s="52" t="str">
        <f>VLOOKUP(I407,RANGOPAGOS6,7,FALSE)</f>
        <v>#N/A</v>
      </c>
      <c r="Z407" s="52" t="str">
        <f t="shared" si="1"/>
        <v>#N/A</v>
      </c>
    </row>
    <row r="408">
      <c r="K408" s="52" t="str">
        <f>VLOOKUP(F408,PAGO1,7,FALSE)</f>
        <v>#N/A</v>
      </c>
      <c r="P408" s="52" t="str">
        <f>VLOOKUP(I408,RANGOPAGOS6,7,FALSE)</f>
        <v>#N/A</v>
      </c>
      <c r="Z408" s="52" t="str">
        <f t="shared" si="1"/>
        <v>#N/A</v>
      </c>
    </row>
    <row r="409">
      <c r="K409" s="52" t="str">
        <f>VLOOKUP(F409,PAGO1,7,FALSE)</f>
        <v>#N/A</v>
      </c>
      <c r="P409" s="52" t="str">
        <f>VLOOKUP(I409,RANGOPAGOS6,7,FALSE)</f>
        <v>#N/A</v>
      </c>
      <c r="Z409" s="52" t="str">
        <f t="shared" si="1"/>
        <v>#N/A</v>
      </c>
    </row>
    <row r="410">
      <c r="K410" s="52" t="str">
        <f>VLOOKUP(F410,PAGO1,7,FALSE)</f>
        <v>#N/A</v>
      </c>
      <c r="P410" s="52" t="str">
        <f>VLOOKUP(I410,RANGOPAGOS6,7,FALSE)</f>
        <v>#N/A</v>
      </c>
      <c r="Z410" s="52" t="str">
        <f t="shared" si="1"/>
        <v>#N/A</v>
      </c>
    </row>
    <row r="411">
      <c r="K411" s="52" t="str">
        <f>VLOOKUP(F411,PAGO1,7,FALSE)</f>
        <v>#N/A</v>
      </c>
      <c r="P411" s="52" t="str">
        <f>VLOOKUP(I411,RANGOPAGOS6,7,FALSE)</f>
        <v>#N/A</v>
      </c>
      <c r="Z411" s="52" t="str">
        <f t="shared" si="1"/>
        <v>#N/A</v>
      </c>
    </row>
    <row r="412">
      <c r="K412" s="52" t="str">
        <f>VLOOKUP(F412,PAGO1,7,FALSE)</f>
        <v>#N/A</v>
      </c>
      <c r="P412" s="52" t="str">
        <f>VLOOKUP(I412,RANGOPAGOS6,7,FALSE)</f>
        <v>#N/A</v>
      </c>
      <c r="Z412" s="52" t="str">
        <f t="shared" si="1"/>
        <v>#N/A</v>
      </c>
    </row>
    <row r="413">
      <c r="K413" s="52" t="str">
        <f>VLOOKUP(F413,PAGO1,7,FALSE)</f>
        <v>#N/A</v>
      </c>
      <c r="P413" s="52" t="str">
        <f>VLOOKUP(I413,RANGOPAGOS6,7,FALSE)</f>
        <v>#N/A</v>
      </c>
      <c r="Z413" s="52" t="str">
        <f t="shared" si="1"/>
        <v>#N/A</v>
      </c>
    </row>
    <row r="414">
      <c r="K414" s="52" t="str">
        <f>VLOOKUP(F414,PAGO1,7,FALSE)</f>
        <v>#N/A</v>
      </c>
      <c r="P414" s="52" t="str">
        <f>VLOOKUP(I414,RANGOPAGOS6,7,FALSE)</f>
        <v>#N/A</v>
      </c>
      <c r="Z414" s="52" t="str">
        <f t="shared" si="1"/>
        <v>#N/A</v>
      </c>
    </row>
    <row r="415">
      <c r="K415" s="52" t="str">
        <f>VLOOKUP(F415,PAGO1,7,FALSE)</f>
        <v>#N/A</v>
      </c>
      <c r="P415" s="52" t="str">
        <f>VLOOKUP(I415,RANGOPAGOS6,7,FALSE)</f>
        <v>#N/A</v>
      </c>
      <c r="Z415" s="52" t="str">
        <f t="shared" si="1"/>
        <v>#N/A</v>
      </c>
    </row>
    <row r="416">
      <c r="K416" s="52" t="str">
        <f>VLOOKUP(F416,PAGO1,7,FALSE)</f>
        <v>#N/A</v>
      </c>
      <c r="P416" s="52" t="str">
        <f>VLOOKUP(I416,RANGOPAGOS6,7,FALSE)</f>
        <v>#N/A</v>
      </c>
      <c r="Z416" s="52" t="str">
        <f t="shared" si="1"/>
        <v>#N/A</v>
      </c>
    </row>
    <row r="417">
      <c r="Z417" s="52">
        <f t="shared" si="1"/>
        <v>0</v>
      </c>
    </row>
    <row r="418">
      <c r="Z418" s="52">
        <f t="shared" si="1"/>
        <v>0</v>
      </c>
    </row>
    <row r="419">
      <c r="Z419" s="52">
        <f t="shared" si="1"/>
        <v>0</v>
      </c>
    </row>
    <row r="420">
      <c r="Z420" s="52">
        <f t="shared" si="1"/>
        <v>0</v>
      </c>
    </row>
    <row r="421">
      <c r="Z421" s="52">
        <f t="shared" si="1"/>
        <v>0</v>
      </c>
    </row>
    <row r="422">
      <c r="Z422" s="52">
        <f t="shared" si="1"/>
        <v>0</v>
      </c>
    </row>
    <row r="423">
      <c r="Z423" s="52">
        <f t="shared" si="1"/>
        <v>0</v>
      </c>
    </row>
  </sheetData>
  <drawing r:id="rId1"/>
</worksheet>
</file>